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showInkAnnotation="0" codeName="ThisWorkbook" defaultThemeVersion="124226"/>
  <xr:revisionPtr revIDLastSave="8" documentId="8_{7F61C83F-5320-479F-B7A8-41A1973BA0D1}" xr6:coauthVersionLast="47" xr6:coauthVersionMax="47" xr10:uidLastSave="{5498FEF8-8897-4431-B9E3-16D1BBF30802}"/>
  <bookViews>
    <workbookView xWindow="-28920" yWindow="-120" windowWidth="29040" windowHeight="15840" tabRatio="710"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9" l="1"/>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J70" i="7" l="1"/>
  <c r="J71" i="7"/>
  <c r="J72" i="7"/>
  <c r="J73" i="7"/>
  <c r="J74" i="7"/>
  <c r="J75" i="7"/>
  <c r="J76" i="7"/>
  <c r="J77" i="7"/>
  <c r="J78" i="7"/>
  <c r="J79" i="7"/>
  <c r="J80" i="7"/>
  <c r="J81" i="7"/>
  <c r="K58" i="7"/>
  <c r="K70" i="7"/>
  <c r="K71" i="7"/>
  <c r="K72" i="7"/>
  <c r="K73" i="7"/>
  <c r="K74" i="7"/>
  <c r="K75" i="7"/>
  <c r="K76" i="7"/>
  <c r="K77" i="7"/>
  <c r="K78" i="7"/>
  <c r="K79" i="7"/>
  <c r="K80" i="7"/>
  <c r="K81" i="7"/>
  <c r="K67" i="7" l="1"/>
  <c r="K62" i="7"/>
  <c r="K65" i="7"/>
  <c r="K63" i="7"/>
  <c r="K59" i="7"/>
  <c r="K57" i="7"/>
  <c r="K56" i="7" l="1"/>
  <c r="K60" i="7"/>
  <c r="K64" i="7"/>
  <c r="K61" i="7"/>
  <c r="K66" i="7"/>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77"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R108" i="16"/>
  <c r="R114" i="16" s="1"/>
  <c r="Q108" i="16"/>
  <c r="Q114" i="16" s="1"/>
  <c r="P108" i="16"/>
  <c r="P114" i="16" s="1"/>
  <c r="O108" i="16"/>
  <c r="O114" i="16" s="1"/>
  <c r="N108" i="16"/>
  <c r="N114" i="16" s="1"/>
  <c r="M108" i="16"/>
  <c r="M114" i="16" s="1"/>
  <c r="L108" i="16"/>
  <c r="L114" i="16" s="1"/>
  <c r="K108" i="16"/>
  <c r="K114" i="16" s="1"/>
  <c r="J108" i="16"/>
  <c r="J114" i="16" s="1"/>
  <c r="I108" i="16"/>
  <c r="H108" i="16"/>
  <c r="H114" i="16" s="1"/>
  <c r="G108" i="16"/>
  <c r="G114" i="16" s="1"/>
  <c r="R107" i="16"/>
  <c r="Q107" i="16"/>
  <c r="P107" i="16"/>
  <c r="O107" i="16"/>
  <c r="N107" i="16"/>
  <c r="M107" i="16"/>
  <c r="L107" i="16"/>
  <c r="K107" i="16"/>
  <c r="J107" i="16"/>
  <c r="I107" i="16"/>
  <c r="H107" i="16"/>
  <c r="G107" i="16"/>
  <c r="R106" i="16"/>
  <c r="Q106" i="16"/>
  <c r="P106" i="16"/>
  <c r="O106" i="16"/>
  <c r="N106" i="16"/>
  <c r="M106" i="16"/>
  <c r="L106" i="16"/>
  <c r="K106" i="16"/>
  <c r="J106" i="16"/>
  <c r="I106" i="16"/>
  <c r="H106" i="16"/>
  <c r="G106" i="16"/>
  <c r="R105" i="16"/>
  <c r="Q105" i="16"/>
  <c r="P105" i="16"/>
  <c r="O105" i="16"/>
  <c r="N105" i="16"/>
  <c r="M105" i="16"/>
  <c r="L105" i="16"/>
  <c r="K105" i="16"/>
  <c r="J105" i="16"/>
  <c r="I105" i="16"/>
  <c r="H105" i="16"/>
  <c r="G105" i="16"/>
  <c r="R104" i="16"/>
  <c r="Q104" i="16"/>
  <c r="P104" i="16"/>
  <c r="O104" i="16"/>
  <c r="N104" i="16"/>
  <c r="M104" i="16"/>
  <c r="L104" i="16"/>
  <c r="K104" i="16"/>
  <c r="J104" i="16"/>
  <c r="I104" i="16"/>
  <c r="H104" i="16"/>
  <c r="G104" i="16"/>
  <c r="R103" i="16"/>
  <c r="Q103" i="16"/>
  <c r="P103"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R97" i="16"/>
  <c r="Q97" i="16"/>
  <c r="P97" i="16"/>
  <c r="O97" i="16"/>
  <c r="N97" i="16"/>
  <c r="M97" i="16"/>
  <c r="L97" i="16"/>
  <c r="K97" i="16"/>
  <c r="J97" i="16"/>
  <c r="I97" i="16"/>
  <c r="H97" i="16"/>
  <c r="G97" i="16"/>
  <c r="R86" i="16"/>
  <c r="R91" i="16" s="1"/>
  <c r="Q86" i="16"/>
  <c r="Q91" i="16" s="1"/>
  <c r="P86" i="16"/>
  <c r="P91" i="16" s="1"/>
  <c r="O86" i="16"/>
  <c r="O91" i="16" s="1"/>
  <c r="N86" i="16"/>
  <c r="N91" i="16" s="1"/>
  <c r="M86" i="16"/>
  <c r="M91" i="16" s="1"/>
  <c r="L86" i="16"/>
  <c r="L91" i="16" s="1"/>
  <c r="K86" i="16"/>
  <c r="K91" i="16" s="1"/>
  <c r="J91" i="16"/>
  <c r="I86" i="16"/>
  <c r="I91" i="16" s="1"/>
  <c r="H86" i="16"/>
  <c r="H91" i="16" s="1"/>
  <c r="G86" i="16"/>
  <c r="G91" i="16" s="1"/>
  <c r="R85" i="16"/>
  <c r="Q85" i="16"/>
  <c r="P85" i="16"/>
  <c r="O85" i="16"/>
  <c r="N85" i="16"/>
  <c r="M85" i="16"/>
  <c r="L85" i="16"/>
  <c r="K85" i="16"/>
  <c r="I85" i="16"/>
  <c r="H85" i="16"/>
  <c r="G85" i="16"/>
  <c r="R84" i="16"/>
  <c r="Q84" i="16"/>
  <c r="P84" i="16"/>
  <c r="O84" i="16"/>
  <c r="N84" i="16"/>
  <c r="M84" i="16"/>
  <c r="L84" i="16"/>
  <c r="K84" i="16"/>
  <c r="I84" i="16"/>
  <c r="H84" i="16"/>
  <c r="G84" i="16"/>
  <c r="R83" i="16"/>
  <c r="Q83" i="16"/>
  <c r="P83" i="16"/>
  <c r="O83" i="16"/>
  <c r="N83" i="16"/>
  <c r="M83" i="16"/>
  <c r="L83" i="16"/>
  <c r="K83" i="16"/>
  <c r="I83" i="16"/>
  <c r="H83" i="16"/>
  <c r="G83" i="16"/>
  <c r="R82" i="16"/>
  <c r="Q82" i="16"/>
  <c r="P82" i="16"/>
  <c r="O82" i="16"/>
  <c r="N82" i="16"/>
  <c r="M82" i="16"/>
  <c r="L82" i="16"/>
  <c r="K82" i="16"/>
  <c r="I82" i="16"/>
  <c r="H82" i="16"/>
  <c r="G82" i="16"/>
  <c r="R81" i="16"/>
  <c r="Q81" i="16"/>
  <c r="P81" i="16"/>
  <c r="O81" i="16"/>
  <c r="N81" i="16"/>
  <c r="M81" i="16"/>
  <c r="L81" i="16"/>
  <c r="K81" i="16"/>
  <c r="I81" i="16"/>
  <c r="H81" i="16"/>
  <c r="G81" i="16"/>
  <c r="R80" i="16"/>
  <c r="Q80" i="16"/>
  <c r="P80" i="16"/>
  <c r="O80" i="16"/>
  <c r="N80" i="16"/>
  <c r="M80" i="16"/>
  <c r="L80" i="16"/>
  <c r="K80" i="16"/>
  <c r="I80" i="16"/>
  <c r="H80" i="16"/>
  <c r="G80" i="16"/>
  <c r="R79" i="16"/>
  <c r="Q79" i="16"/>
  <c r="P79" i="16"/>
  <c r="O79" i="16"/>
  <c r="N79" i="16"/>
  <c r="M79" i="16"/>
  <c r="L79" i="16"/>
  <c r="K79" i="16"/>
  <c r="I79" i="16"/>
  <c r="H79" i="16"/>
  <c r="G79" i="16"/>
  <c r="R78" i="16"/>
  <c r="Q78" i="16"/>
  <c r="P78" i="16"/>
  <c r="O78" i="16"/>
  <c r="N78" i="16"/>
  <c r="M78" i="16"/>
  <c r="L78" i="16"/>
  <c r="K78" i="16"/>
  <c r="I78" i="16"/>
  <c r="H78" i="16"/>
  <c r="G78" i="16"/>
  <c r="R77" i="16"/>
  <c r="Q77" i="16"/>
  <c r="P77" i="16"/>
  <c r="O77" i="16"/>
  <c r="N77" i="16"/>
  <c r="M77" i="16"/>
  <c r="L77" i="16"/>
  <c r="K77" i="16"/>
  <c r="I77" i="16"/>
  <c r="H77" i="16"/>
  <c r="G77" i="16"/>
  <c r="R76" i="16"/>
  <c r="Q76" i="16"/>
  <c r="P76" i="16"/>
  <c r="O76" i="16"/>
  <c r="N76" i="16"/>
  <c r="M76" i="16"/>
  <c r="L76" i="16"/>
  <c r="K76" i="16"/>
  <c r="I76" i="16"/>
  <c r="H76" i="16"/>
  <c r="G76" i="16"/>
  <c r="R75" i="16"/>
  <c r="Q75" i="16"/>
  <c r="P75"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P110" i="16"/>
  <c r="P115" i="16" s="1"/>
  <c r="P88" i="16"/>
  <c r="P92" i="16" s="1"/>
  <c r="Q110" i="16"/>
  <c r="Q115" i="16" s="1"/>
  <c r="N110" i="16"/>
  <c r="N115" i="16" s="1"/>
  <c r="K110" i="16"/>
  <c r="K115" i="16" s="1"/>
  <c r="J88" i="16"/>
  <c r="J92" i="16" s="1"/>
  <c r="R88" i="16"/>
  <c r="R92" i="16" s="1"/>
  <c r="J110" i="16"/>
  <c r="J115" i="16" s="1"/>
  <c r="R110" i="16"/>
  <c r="L110" i="16"/>
  <c r="L115" i="16" s="1"/>
  <c r="M110" i="16"/>
  <c r="M115" i="16" s="1"/>
  <c r="O88" i="16"/>
  <c r="O92" i="16" s="1"/>
  <c r="O110" i="16"/>
  <c r="O115" i="16" s="1"/>
  <c r="E50" i="16"/>
  <c r="G50" i="16"/>
  <c r="H50" i="16"/>
  <c r="I50" i="16"/>
  <c r="M88" i="16"/>
  <c r="M92" i="16" s="1"/>
  <c r="N88" i="16"/>
  <c r="N92" i="16" s="1"/>
  <c r="E27" i="16"/>
  <c r="H27" i="16"/>
  <c r="Q88" i="16"/>
  <c r="Q92" i="16" s="1"/>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Q112" i="16"/>
  <c r="R111" i="16"/>
  <c r="R115" i="16"/>
  <c r="R112" i="16"/>
  <c r="P112" i="16"/>
  <c r="P111" i="16"/>
  <c r="O111" i="16"/>
  <c r="O112" i="16"/>
  <c r="N112" i="16"/>
  <c r="N111" i="16"/>
  <c r="M112" i="16"/>
  <c r="M111" i="16"/>
  <c r="L112" i="16"/>
  <c r="L111" i="16"/>
  <c r="K112" i="16"/>
  <c r="K111" i="16"/>
  <c r="Q111" i="16"/>
  <c r="P89" i="16"/>
  <c r="P130" i="16" s="1"/>
  <c r="L50" i="16"/>
  <c r="M50" i="16"/>
  <c r="P50" i="16"/>
  <c r="O50" i="16"/>
  <c r="Q50" i="16"/>
  <c r="N50" i="16"/>
  <c r="J50" i="16"/>
  <c r="R50" i="16"/>
  <c r="K50" i="16"/>
  <c r="Q89" i="16"/>
  <c r="Q130" i="16" s="1"/>
  <c r="L89" i="16"/>
  <c r="L130" i="16" s="1"/>
  <c r="O89" i="16"/>
  <c r="O130" i="16" s="1"/>
  <c r="N89" i="16"/>
  <c r="N130" i="16" s="1"/>
  <c r="K89" i="16"/>
  <c r="K130" i="16" s="1"/>
  <c r="R89" i="16"/>
  <c r="R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P125" i="16"/>
  <c r="P134" i="16"/>
  <c r="R125" i="16"/>
  <c r="R134" i="16"/>
  <c r="N125" i="16"/>
  <c r="N134" i="16"/>
  <c r="O125" i="16"/>
  <c r="O134" i="16"/>
  <c r="K125" i="16"/>
  <c r="K134" i="16"/>
  <c r="Q125" i="16"/>
  <c r="Q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M211" i="21"/>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94" i="16" s="1"/>
  <c r="P119" i="16" s="1"/>
  <c r="P126" i="16"/>
  <c r="P52" i="16"/>
  <c r="P116" i="16"/>
  <c r="P117" i="16" s="1"/>
  <c r="P120" i="16" s="1"/>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121" i="16"/>
  <c r="P124" i="16" s="1"/>
  <c r="P127" i="16" s="1"/>
  <c r="P129" i="16" s="1"/>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117" i="16" s="1"/>
  <c r="Q120" i="16" s="1"/>
  <c r="Q62" i="16"/>
  <c r="Q126" i="16"/>
  <c r="Q93" i="16"/>
  <c r="Q94" i="16" s="1"/>
  <c r="Q119" i="16" s="1"/>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121" i="16"/>
  <c r="Q124" i="16" s="1"/>
  <c r="Q127" i="16" s="1"/>
  <c r="Q129" i="16" s="1"/>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117" i="16" s="1"/>
  <c r="R120" i="16" s="1"/>
  <c r="R93" i="16"/>
  <c r="R94" i="16" s="1"/>
  <c r="R119" i="16" s="1"/>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21" i="16"/>
  <c r="R124" i="16" s="1"/>
  <c r="R127" i="16" s="1"/>
  <c r="R129" i="16" s="1"/>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M80" i="12" s="1"/>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M40" i="12"/>
  <c r="M35" i="12"/>
  <c r="M28" i="12"/>
  <c r="M29" i="12" s="1"/>
  <c r="P65" i="16"/>
  <c r="P67" i="16" s="1"/>
  <c r="P131" i="16"/>
  <c r="P133" i="16" s="1"/>
  <c r="P135" i="16" s="1"/>
  <c r="O65" i="16"/>
  <c r="O67" i="16" s="1"/>
  <c r="O131" i="16"/>
  <c r="O133" i="16" s="1"/>
  <c r="O135" i="16" s="1"/>
  <c r="Q55" i="16"/>
  <c r="Q53" i="16"/>
  <c r="Q56" i="16" s="1"/>
  <c r="K202" i="23" l="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O69" i="23"/>
  <c r="O70" i="23" s="1"/>
  <c r="O74" i="23" s="1"/>
  <c r="O69" i="24"/>
  <c r="O70" i="24" s="1"/>
  <c r="O74" i="24" s="1"/>
  <c r="O69" i="22"/>
  <c r="O70" i="22" s="1"/>
  <c r="O74" i="22" s="1"/>
  <c r="O69" i="21"/>
  <c r="O70" i="21" s="1"/>
  <c r="O74" i="21" s="1"/>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P69" i="24"/>
  <c r="P70" i="24" s="1"/>
  <c r="P74" i="24" s="1"/>
  <c r="P69" i="23"/>
  <c r="P70" i="23" s="1"/>
  <c r="P74" i="23" s="1"/>
  <c r="P69" i="22"/>
  <c r="P70" i="22" s="1"/>
  <c r="P74" i="22" s="1"/>
  <c r="P69" i="21"/>
  <c r="P70" i="21" s="1"/>
  <c r="P74" i="21" s="1"/>
  <c r="L183" i="23"/>
  <c r="L190" i="23" s="1"/>
  <c r="L156" i="23"/>
  <c r="M51" i="24"/>
  <c r="M36" i="24"/>
  <c r="M37" i="24" s="1"/>
  <c r="K219" i="23"/>
  <c r="K221" i="23" s="1"/>
  <c r="K25" i="20"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53" i="22" l="1"/>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L178" i="12"/>
  <c r="L13" i="20" s="1"/>
  <c r="M102" i="12"/>
  <c r="M103" i="12" s="1"/>
  <c r="M92" i="12"/>
  <c r="M93" i="12" s="1"/>
  <c r="M98" i="12" s="1"/>
  <c r="M99" i="12" s="1"/>
  <c r="K214" i="12"/>
  <c r="K216" i="12" s="1"/>
  <c r="K14" i="20" s="1"/>
  <c r="L190" i="12"/>
  <c r="L200" i="12" s="1"/>
  <c r="P69" i="12"/>
  <c r="P70" i="12" s="1"/>
  <c r="P74" i="12" s="1"/>
  <c r="O69" i="12"/>
  <c r="O70" i="12" s="1"/>
  <c r="O74"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Q131" i="16"/>
  <c r="Q133" i="16" s="1"/>
  <c r="Q135" i="16"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5" i="21" s="1"/>
  <c r="O73" i="22"/>
  <c r="O75" i="22" s="1"/>
  <c r="O90" i="22"/>
  <c r="O78" i="22"/>
  <c r="N98" i="23"/>
  <c r="N99" i="23" s="1"/>
  <c r="N107" i="23" s="1"/>
  <c r="N170" i="23"/>
  <c r="N173" i="23" s="1"/>
  <c r="N197" i="23"/>
  <c r="O78" i="24"/>
  <c r="O90" i="24"/>
  <c r="O73" i="24"/>
  <c r="O75" i="24" s="1"/>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Q69" i="23"/>
  <c r="Q70" i="23" s="1"/>
  <c r="Q74" i="23" s="1"/>
  <c r="Q69" i="24"/>
  <c r="Q70" i="24" s="1"/>
  <c r="Q74" i="24" s="1"/>
  <c r="Q69" i="22"/>
  <c r="Q70" i="22" s="1"/>
  <c r="Q74" i="22" s="1"/>
  <c r="Q69" i="21"/>
  <c r="Q70" i="21" s="1"/>
  <c r="Q74" i="21" s="1"/>
  <c r="N197" i="24"/>
  <c r="N142" i="21"/>
  <c r="N143" i="21" s="1"/>
  <c r="N182" i="21"/>
  <c r="N189" i="21" s="1"/>
  <c r="N155" i="21"/>
  <c r="O73" i="23"/>
  <c r="O75" i="23" s="1"/>
  <c r="O90" i="23"/>
  <c r="O78" i="23"/>
  <c r="N197" i="22"/>
  <c r="M159" i="12"/>
  <c r="M161" i="12" s="1"/>
  <c r="M163" i="12" s="1"/>
  <c r="M184" i="12"/>
  <c r="M191" i="12" s="1"/>
  <c r="N92" i="12"/>
  <c r="N93" i="12" s="1"/>
  <c r="N102" i="12"/>
  <c r="N103" i="12" s="1"/>
  <c r="O85" i="12"/>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O79" i="24"/>
  <c r="O80" i="24" s="1"/>
  <c r="O86" i="24"/>
  <c r="O91" i="24" s="1"/>
  <c r="N196" i="22"/>
  <c r="N198" i="22" s="1"/>
  <c r="N196" i="24"/>
  <c r="N198" i="24" s="1"/>
  <c r="O79" i="22"/>
  <c r="O80" i="22" s="1"/>
  <c r="O86" i="22"/>
  <c r="O91" i="22" s="1"/>
  <c r="N41" i="23"/>
  <c r="N42" i="23" s="1"/>
  <c r="O34" i="23"/>
  <c r="N186" i="21"/>
  <c r="N193" i="21" s="1"/>
  <c r="N108" i="21"/>
  <c r="O79" i="23"/>
  <c r="O80" i="23" s="1"/>
  <c r="O86" i="23"/>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O86" i="21"/>
  <c r="O79" i="21"/>
  <c r="O80" i="21" s="1"/>
  <c r="N186" i="24"/>
  <c r="N193" i="24" s="1"/>
  <c r="N108" i="24"/>
  <c r="N196" i="21"/>
  <c r="N198" i="21" s="1"/>
  <c r="M165" i="24"/>
  <c r="M166" i="24"/>
  <c r="Q69" i="12"/>
  <c r="Q70" i="12" s="1"/>
  <c r="Q74" i="12" s="1"/>
  <c r="N98" i="12"/>
  <c r="N99" i="12" s="1"/>
  <c r="N107" i="12" s="1"/>
  <c r="N170" i="12"/>
  <c r="N173" i="12" s="1"/>
  <c r="M198" i="12"/>
  <c r="M202" i="12"/>
  <c r="M204" i="12"/>
  <c r="M206" i="12" s="1"/>
  <c r="O73" i="12"/>
  <c r="O75" i="12" s="1"/>
  <c r="O78" i="12"/>
  <c r="O90" i="12"/>
  <c r="O140" i="12"/>
  <c r="N147" i="12"/>
  <c r="N148" i="12" s="1"/>
  <c r="N152" i="12" s="1"/>
  <c r="N153" i="12" s="1"/>
  <c r="N183" i="12" s="1"/>
  <c r="N190" i="12" s="1"/>
  <c r="Q14" i="12"/>
  <c r="Q15" i="12" s="1"/>
  <c r="Q125" i="12"/>
  <c r="Q126" i="12" s="1"/>
  <c r="Q129" i="12" s="1"/>
  <c r="N41" i="12"/>
  <c r="N42" i="12" s="1"/>
  <c r="O34" i="12"/>
  <c r="L114" i="12"/>
  <c r="R65" i="16"/>
  <c r="R67" i="16" s="1"/>
  <c r="R131" i="16"/>
  <c r="R133" i="16" s="1"/>
  <c r="R135" i="16" s="1"/>
  <c r="O106" i="22" l="1"/>
  <c r="O87" i="22"/>
  <c r="O88" i="22" s="1"/>
  <c r="N214" i="24"/>
  <c r="N216" i="24" s="1"/>
  <c r="N29" i="20" s="1"/>
  <c r="N214" i="23"/>
  <c r="N216" i="23" s="1"/>
  <c r="N24" i="20" s="1"/>
  <c r="O106" i="23"/>
  <c r="O87" i="23"/>
  <c r="O88" i="23" s="1"/>
  <c r="N214" i="21"/>
  <c r="N216" i="21" s="1"/>
  <c r="N9" i="20" s="1"/>
  <c r="N115" i="24"/>
  <c r="N160" i="24"/>
  <c r="N187" i="24"/>
  <c r="N194" i="24" s="1"/>
  <c r="N160" i="22"/>
  <c r="N187" i="22"/>
  <c r="N194" i="22" s="1"/>
  <c r="N115" i="22"/>
  <c r="N201" i="22"/>
  <c r="O106" i="21"/>
  <c r="O87" i="21"/>
  <c r="O88" i="21" s="1"/>
  <c r="O145" i="22"/>
  <c r="O133" i="22"/>
  <c r="O128" i="22"/>
  <c r="O130" i="22" s="1"/>
  <c r="O91" i="21"/>
  <c r="N187" i="21"/>
  <c r="N194" i="21" s="1"/>
  <c r="N115" i="21"/>
  <c r="N160" i="21"/>
  <c r="N169" i="21"/>
  <c r="N172" i="21" s="1"/>
  <c r="N174" i="21" s="1"/>
  <c r="N176" i="21" s="1"/>
  <c r="N178" i="21" s="1"/>
  <c r="N8" i="20" s="1"/>
  <c r="N47" i="21"/>
  <c r="N48" i="21" s="1"/>
  <c r="N52" i="21" s="1"/>
  <c r="N53" i="21" s="1"/>
  <c r="N156" i="22"/>
  <c r="N157" i="22" s="1"/>
  <c r="N183" i="22"/>
  <c r="N190" i="22" s="1"/>
  <c r="O106" i="24"/>
  <c r="O87" i="24"/>
  <c r="O88" i="24"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91" i="23"/>
  <c r="O27" i="22"/>
  <c r="O22" i="22"/>
  <c r="O24" i="22" s="1"/>
  <c r="O22" i="23"/>
  <c r="O24" i="23" s="1"/>
  <c r="O27" i="23"/>
  <c r="N183" i="24"/>
  <c r="N190" i="24" s="1"/>
  <c r="N156" i="24"/>
  <c r="N157" i="24" s="1"/>
  <c r="O27" i="24"/>
  <c r="O22" i="24"/>
  <c r="O24" i="24" s="1"/>
  <c r="O133" i="23"/>
  <c r="O145" i="23"/>
  <c r="O128" i="23"/>
  <c r="O130" i="23" s="1"/>
  <c r="R69" i="23"/>
  <c r="R70" i="23" s="1"/>
  <c r="R74" i="23" s="1"/>
  <c r="R69" i="24"/>
  <c r="R70" i="24" s="1"/>
  <c r="R74" i="24" s="1"/>
  <c r="R69" i="22"/>
  <c r="R70" i="22" s="1"/>
  <c r="R74" i="22" s="1"/>
  <c r="R69" i="21"/>
  <c r="R70" i="21" s="1"/>
  <c r="R74" i="21"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72" i="12" s="1"/>
  <c r="N174" i="12" s="1"/>
  <c r="N176" i="12" s="1"/>
  <c r="N178" i="12" s="1"/>
  <c r="N13" i="20" s="1"/>
  <c r="N108" i="12"/>
  <c r="N187" i="12" s="1"/>
  <c r="N194" i="12" s="1"/>
  <c r="N186" i="12"/>
  <c r="N193" i="12" s="1"/>
  <c r="N201" i="12" s="1"/>
  <c r="Q23" i="12"/>
  <c r="O79" i="12"/>
  <c r="O80" i="12" s="1"/>
  <c r="O86" i="12"/>
  <c r="O91" i="12" s="1"/>
  <c r="N156" i="12"/>
  <c r="O145" i="12"/>
  <c r="O133" i="12"/>
  <c r="O128" i="12"/>
  <c r="O130" i="12" s="1"/>
  <c r="M114" i="12"/>
  <c r="M116" i="12" s="1"/>
  <c r="O27" i="12"/>
  <c r="O39" i="12" s="1"/>
  <c r="O22" i="12"/>
  <c r="O24" i="12" s="1"/>
  <c r="R69" i="16"/>
  <c r="R71" i="16" s="1"/>
  <c r="O92" i="21" l="1"/>
  <c r="O93" i="21" s="1"/>
  <c r="P85" i="21"/>
  <c r="O102" i="21"/>
  <c r="O103" i="21" s="1"/>
  <c r="N159" i="23"/>
  <c r="N161" i="23" s="1"/>
  <c r="N184" i="23"/>
  <c r="N191" i="23" s="1"/>
  <c r="N61" i="22"/>
  <c r="N114" i="22" s="1"/>
  <c r="N116" i="22" s="1"/>
  <c r="N200" i="23"/>
  <c r="N202" i="23" s="1"/>
  <c r="O28" i="22"/>
  <c r="O29" i="22" s="1"/>
  <c r="O40" i="22"/>
  <c r="O35" i="22"/>
  <c r="O92" i="24"/>
  <c r="O93" i="24" s="1"/>
  <c r="O102" i="24"/>
  <c r="O103" i="24" s="1"/>
  <c r="P85" i="24"/>
  <c r="O185" i="21"/>
  <c r="O192" i="21" s="1"/>
  <c r="N205" i="24"/>
  <c r="N200" i="21"/>
  <c r="N202" i="21" s="1"/>
  <c r="N61" i="23"/>
  <c r="N114" i="23" s="1"/>
  <c r="N116" i="23" s="1"/>
  <c r="O141" i="21"/>
  <c r="O146" i="21"/>
  <c r="O134" i="21"/>
  <c r="O135" i="21" s="1"/>
  <c r="O40" i="24"/>
  <c r="O35" i="24"/>
  <c r="O28" i="24"/>
  <c r="O29" i="24" s="1"/>
  <c r="O39" i="22"/>
  <c r="N61" i="24"/>
  <c r="N114" i="24" s="1"/>
  <c r="N116" i="24" s="1"/>
  <c r="O185" i="24"/>
  <c r="O192" i="24" s="1"/>
  <c r="N205" i="21"/>
  <c r="N184" i="21"/>
  <c r="N191" i="21" s="1"/>
  <c r="N159" i="21"/>
  <c r="N161" i="21" s="1"/>
  <c r="O39" i="24"/>
  <c r="O102" i="23"/>
  <c r="O103" i="23" s="1"/>
  <c r="P85" i="23"/>
  <c r="O92" i="23"/>
  <c r="O93" i="23" s="1"/>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102" i="22"/>
  <c r="O103" i="22" s="1"/>
  <c r="P85" i="22"/>
  <c r="O92" i="22"/>
  <c r="O93" i="22" s="1"/>
  <c r="O35" i="23"/>
  <c r="O28" i="23"/>
  <c r="O29" i="23" s="1"/>
  <c r="O40" i="23"/>
  <c r="O185" i="23"/>
  <c r="O192" i="23"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O185" i="22"/>
  <c r="O192" i="22" s="1"/>
  <c r="R69" i="12"/>
  <c r="R70" i="12" s="1"/>
  <c r="R74" i="12" s="1"/>
  <c r="N160" i="12"/>
  <c r="N115" i="12"/>
  <c r="N205" i="12"/>
  <c r="N157" i="12"/>
  <c r="N200" i="12"/>
  <c r="M164" i="12"/>
  <c r="M166" i="12" s="1"/>
  <c r="O87" i="12"/>
  <c r="O88" i="12" s="1"/>
  <c r="O106" i="12"/>
  <c r="O185" i="12" s="1"/>
  <c r="O192" i="12" s="1"/>
  <c r="O197"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O170" i="24"/>
  <c r="O173" i="24" s="1"/>
  <c r="O98" i="24"/>
  <c r="O99" i="24" s="1"/>
  <c r="O107" i="24" s="1"/>
  <c r="N163" i="23"/>
  <c r="O197" i="24"/>
  <c r="N164" i="23"/>
  <c r="O36" i="23"/>
  <c r="O37" i="23" s="1"/>
  <c r="O51" i="23"/>
  <c r="O197" i="22"/>
  <c r="O98" i="22"/>
  <c r="O99" i="22" s="1"/>
  <c r="O107" i="22" s="1"/>
  <c r="O170" i="22"/>
  <c r="O173" i="22" s="1"/>
  <c r="N219" i="23"/>
  <c r="N221" i="23" s="1"/>
  <c r="N25" i="20" s="1"/>
  <c r="O155" i="21"/>
  <c r="O182" i="21"/>
  <c r="O189" i="21" s="1"/>
  <c r="O142" i="21"/>
  <c r="O143" i="21" s="1"/>
  <c r="N204" i="23"/>
  <c r="N206" i="23" s="1"/>
  <c r="P78" i="22"/>
  <c r="P90" i="22"/>
  <c r="P73" i="22"/>
  <c r="P75" i="22" s="1"/>
  <c r="O182" i="24"/>
  <c r="O189" i="24" s="1"/>
  <c r="O142" i="24"/>
  <c r="O143" i="24" s="1"/>
  <c r="O155" i="24"/>
  <c r="O170" i="23"/>
  <c r="O173" i="23" s="1"/>
  <c r="O98" i="23"/>
  <c r="O99" i="23" s="1"/>
  <c r="O107" i="23" s="1"/>
  <c r="N204" i="21"/>
  <c r="N206" i="21" s="1"/>
  <c r="O197" i="21"/>
  <c r="N219" i="21"/>
  <c r="N221" i="21" s="1"/>
  <c r="N10" i="20" s="1"/>
  <c r="P90" i="23"/>
  <c r="P78" i="23"/>
  <c r="P73" i="23"/>
  <c r="P75" i="23" s="1"/>
  <c r="O36" i="22"/>
  <c r="O37" i="22" s="1"/>
  <c r="O51" i="22"/>
  <c r="O197" i="23"/>
  <c r="N164" i="24"/>
  <c r="P90" i="24"/>
  <c r="P78" i="24"/>
  <c r="P73" i="24"/>
  <c r="P75" i="24" s="1"/>
  <c r="P78" i="21"/>
  <c r="P73" i="21"/>
  <c r="P75" i="21" s="1"/>
  <c r="P90" i="21"/>
  <c r="N204" i="24"/>
  <c r="N206" i="24" s="1"/>
  <c r="O170" i="21"/>
  <c r="O173" i="21" s="1"/>
  <c r="O98" i="21"/>
  <c r="O99" i="21" s="1"/>
  <c r="O107" i="21" s="1"/>
  <c r="M165" i="12"/>
  <c r="N159" i="12"/>
  <c r="N161" i="12" s="1"/>
  <c r="N163" i="12" s="1"/>
  <c r="N184" i="12"/>
  <c r="N191" i="12" s="1"/>
  <c r="O102" i="12"/>
  <c r="O103" i="12" s="1"/>
  <c r="O92" i="12"/>
  <c r="O93" i="12" s="1"/>
  <c r="P85" i="12"/>
  <c r="O155" i="12"/>
  <c r="O189" i="12" s="1"/>
  <c r="O196" i="12" s="1"/>
  <c r="O142" i="12"/>
  <c r="O143" i="12" s="1"/>
  <c r="O36" i="12"/>
  <c r="O37" i="12" s="1"/>
  <c r="O51" i="12"/>
  <c r="N166" i="22" l="1"/>
  <c r="N165" i="24"/>
  <c r="N165" i="21"/>
  <c r="O41" i="22"/>
  <c r="O42" i="22" s="1"/>
  <c r="P34" i="22"/>
  <c r="O41" i="21"/>
  <c r="O42" i="21" s="1"/>
  <c r="P34" i="21"/>
  <c r="O186" i="21"/>
  <c r="O193" i="21" s="1"/>
  <c r="O108" i="21"/>
  <c r="P140" i="24"/>
  <c r="O147" i="24"/>
  <c r="O148" i="24" s="1"/>
  <c r="O152" i="24" s="1"/>
  <c r="O153" i="24" s="1"/>
  <c r="O196" i="23"/>
  <c r="O198" i="23" s="1"/>
  <c r="P79" i="24"/>
  <c r="P80" i="24" s="1"/>
  <c r="P86" i="24"/>
  <c r="P91" i="24" s="1"/>
  <c r="O196" i="24"/>
  <c r="O198" i="24" s="1"/>
  <c r="O196" i="21"/>
  <c r="O198" i="21" s="1"/>
  <c r="N166" i="23"/>
  <c r="N165" i="23"/>
  <c r="P140" i="22"/>
  <c r="O147" i="22"/>
  <c r="O148" i="22" s="1"/>
  <c r="O152" i="22" s="1"/>
  <c r="O153" i="22" s="1"/>
  <c r="P140" i="23"/>
  <c r="O147" i="23"/>
  <c r="O148" i="23" s="1"/>
  <c r="O152" i="23" s="1"/>
  <c r="O153" i="23" s="1"/>
  <c r="P79" i="22"/>
  <c r="P80" i="22" s="1"/>
  <c r="P86" i="22"/>
  <c r="P91" i="22" s="1"/>
  <c r="O41" i="23"/>
  <c r="O42" i="23" s="1"/>
  <c r="P34" i="23"/>
  <c r="O196" i="22"/>
  <c r="O198" i="22" s="1"/>
  <c r="P34" i="24"/>
  <c r="O41" i="24"/>
  <c r="O42" i="24" s="1"/>
  <c r="P140" i="21"/>
  <c r="O147" i="21"/>
  <c r="O148" i="21" s="1"/>
  <c r="O152" i="21" s="1"/>
  <c r="O153" i="21" s="1"/>
  <c r="P79" i="23"/>
  <c r="P80" i="23" s="1"/>
  <c r="P86" i="23"/>
  <c r="P91" i="23" s="1"/>
  <c r="O186" i="24"/>
  <c r="O193" i="24" s="1"/>
  <c r="O201" i="24" s="1"/>
  <c r="O108" i="24"/>
  <c r="N165" i="22"/>
  <c r="P86" i="21"/>
  <c r="P91" i="21" s="1"/>
  <c r="P79" i="21"/>
  <c r="P80" i="21" s="1"/>
  <c r="O186" i="23"/>
  <c r="O193" i="23" s="1"/>
  <c r="O108" i="23"/>
  <c r="O186" i="22"/>
  <c r="O193" i="22" s="1"/>
  <c r="O108" i="22"/>
  <c r="N166" i="21"/>
  <c r="N166" i="24"/>
  <c r="O98" i="12"/>
  <c r="O99" i="12" s="1"/>
  <c r="O107" i="12" s="1"/>
  <c r="O170" i="12"/>
  <c r="O173" i="12" s="1"/>
  <c r="N198" i="12"/>
  <c r="N202" i="12"/>
  <c r="N204" i="12"/>
  <c r="N206" i="12" s="1"/>
  <c r="P90" i="12"/>
  <c r="P73" i="12"/>
  <c r="P75" i="12" s="1"/>
  <c r="P78" i="12"/>
  <c r="P140" i="12"/>
  <c r="O147" i="12"/>
  <c r="O148" i="12" s="1"/>
  <c r="O152" i="12" s="1"/>
  <c r="O153" i="12" s="1"/>
  <c r="O183" i="12" s="1"/>
  <c r="N114" i="12"/>
  <c r="N116" i="12" s="1"/>
  <c r="O41" i="12"/>
  <c r="O42" i="12" s="1"/>
  <c r="P34" i="12"/>
  <c r="P87" i="24" l="1"/>
  <c r="P88" i="24" s="1"/>
  <c r="P106" i="24"/>
  <c r="O214" i="21"/>
  <c r="O216" i="21" s="1"/>
  <c r="O9" i="20" s="1"/>
  <c r="P106" i="23"/>
  <c r="P87" i="23"/>
  <c r="P88" i="23" s="1"/>
  <c r="P27" i="23"/>
  <c r="P39" i="23" s="1"/>
  <c r="P22" i="23"/>
  <c r="P24" i="23" s="1"/>
  <c r="P128" i="22"/>
  <c r="P130" i="22" s="1"/>
  <c r="P145" i="22"/>
  <c r="P133" i="22"/>
  <c r="P106" i="21"/>
  <c r="P87" i="21"/>
  <c r="P88" i="21" s="1"/>
  <c r="O47" i="23"/>
  <c r="O48" i="23" s="1"/>
  <c r="O52" i="23" s="1"/>
  <c r="O53" i="23" s="1"/>
  <c r="O61" i="23" s="1"/>
  <c r="O114" i="23" s="1"/>
  <c r="O169" i="23"/>
  <c r="O172" i="23" s="1"/>
  <c r="O174" i="23" s="1"/>
  <c r="O176" i="23" s="1"/>
  <c r="O178" i="23" s="1"/>
  <c r="O23" i="20" s="1"/>
  <c r="O187" i="21"/>
  <c r="O194" i="21" s="1"/>
  <c r="O205" i="21" s="1"/>
  <c r="O115" i="21"/>
  <c r="O160" i="21"/>
  <c r="O214" i="23"/>
  <c r="O216" i="23" s="1"/>
  <c r="O24" i="20" s="1"/>
  <c r="O183" i="21"/>
  <c r="O190" i="21" s="1"/>
  <c r="O200" i="21" s="1"/>
  <c r="O156" i="21"/>
  <c r="O157" i="21" s="1"/>
  <c r="O201" i="21"/>
  <c r="P87" i="22"/>
  <c r="P88" i="22" s="1"/>
  <c r="P106" i="22"/>
  <c r="P128" i="21"/>
  <c r="P130" i="21" s="1"/>
  <c r="P145" i="21"/>
  <c r="P133" i="21"/>
  <c r="P27" i="21"/>
  <c r="P39" i="21" s="1"/>
  <c r="P22" i="21"/>
  <c r="P24" i="21" s="1"/>
  <c r="O187" i="23"/>
  <c r="O194" i="23" s="1"/>
  <c r="O205" i="23" s="1"/>
  <c r="O160" i="23"/>
  <c r="O115" i="23"/>
  <c r="O187" i="24"/>
  <c r="O194" i="24" s="1"/>
  <c r="O115" i="24"/>
  <c r="O160" i="24"/>
  <c r="O169" i="24"/>
  <c r="O172" i="24" s="1"/>
  <c r="O174" i="24" s="1"/>
  <c r="O176" i="24" s="1"/>
  <c r="O178" i="24" s="1"/>
  <c r="O28" i="20" s="1"/>
  <c r="O47" i="24"/>
  <c r="O48" i="24" s="1"/>
  <c r="O52" i="24" s="1"/>
  <c r="O53" i="24" s="1"/>
  <c r="O61" i="24" s="1"/>
  <c r="O114" i="24" s="1"/>
  <c r="O169" i="21"/>
  <c r="O172" i="21" s="1"/>
  <c r="O174" i="21" s="1"/>
  <c r="O176" i="21" s="1"/>
  <c r="O178" i="21" s="1"/>
  <c r="O8" i="20" s="1"/>
  <c r="O47" i="21"/>
  <c r="O48" i="21" s="1"/>
  <c r="O52" i="21" s="1"/>
  <c r="O53" i="21" s="1"/>
  <c r="O201" i="23"/>
  <c r="P27" i="24"/>
  <c r="P22" i="24"/>
  <c r="P24" i="24" s="1"/>
  <c r="O156" i="23"/>
  <c r="O157" i="23" s="1"/>
  <c r="O183" i="23"/>
  <c r="O190" i="23" s="1"/>
  <c r="O200" i="23" s="1"/>
  <c r="O214" i="22"/>
  <c r="O216" i="22" s="1"/>
  <c r="O19" i="20" s="1"/>
  <c r="O214" i="24"/>
  <c r="O216" i="24" s="1"/>
  <c r="O29" i="20" s="1"/>
  <c r="O115" i="22"/>
  <c r="O160" i="22"/>
  <c r="O187" i="22"/>
  <c r="O194" i="22" s="1"/>
  <c r="P128" i="23"/>
  <c r="P130" i="23" s="1"/>
  <c r="P145" i="23"/>
  <c r="P133" i="23"/>
  <c r="O183" i="24"/>
  <c r="O190" i="24" s="1"/>
  <c r="O200" i="24" s="1"/>
  <c r="O202" i="24" s="1"/>
  <c r="O156" i="24"/>
  <c r="O157" i="24" s="1"/>
  <c r="P22" i="22"/>
  <c r="P24" i="22" s="1"/>
  <c r="P27" i="22"/>
  <c r="P39" i="22" s="1"/>
  <c r="O201" i="22"/>
  <c r="O183" i="22"/>
  <c r="O190" i="22" s="1"/>
  <c r="O200" i="22" s="1"/>
  <c r="O156" i="22"/>
  <c r="O157" i="22" s="1"/>
  <c r="P133" i="24"/>
  <c r="P145" i="24"/>
  <c r="P128" i="24"/>
  <c r="P130" i="24" s="1"/>
  <c r="O47" i="22"/>
  <c r="O48" i="22" s="1"/>
  <c r="O52" i="22" s="1"/>
  <c r="O53" i="22" s="1"/>
  <c r="O61" i="22" s="1"/>
  <c r="O114" i="22" s="1"/>
  <c r="O169" i="22"/>
  <c r="O172" i="22" s="1"/>
  <c r="O174" i="22" s="1"/>
  <c r="O176" i="22" s="1"/>
  <c r="O178" i="22" s="1"/>
  <c r="O18" i="20" s="1"/>
  <c r="N219" i="12"/>
  <c r="N214" i="12"/>
  <c r="N216" i="12" s="1"/>
  <c r="N14" i="20" s="1"/>
  <c r="O47" i="12"/>
  <c r="O48" i="12" s="1"/>
  <c r="O52" i="12" s="1"/>
  <c r="O53" i="12" s="1"/>
  <c r="O61" i="12" s="1"/>
  <c r="O169" i="12"/>
  <c r="O172" i="12" s="1"/>
  <c r="O174" i="12" s="1"/>
  <c r="O176" i="12" s="1"/>
  <c r="O178" i="12" s="1"/>
  <c r="O13" i="20" s="1"/>
  <c r="O108" i="12"/>
  <c r="O187" i="12" s="1"/>
  <c r="O194" i="12" s="1"/>
  <c r="O186" i="12"/>
  <c r="O193" i="12" s="1"/>
  <c r="O201" i="12" s="1"/>
  <c r="N164" i="12"/>
  <c r="N165" i="12" s="1"/>
  <c r="P79" i="12"/>
  <c r="P80" i="12" s="1"/>
  <c r="P86" i="12"/>
  <c r="P91" i="12" s="1"/>
  <c r="O156" i="12"/>
  <c r="P145" i="12"/>
  <c r="P128" i="12"/>
  <c r="P130" i="12" s="1"/>
  <c r="P133" i="12"/>
  <c r="P27" i="12"/>
  <c r="P39" i="12" s="1"/>
  <c r="P22" i="12"/>
  <c r="P24" i="12" s="1"/>
  <c r="O202" i="22" l="1"/>
  <c r="O219" i="22" s="1"/>
  <c r="O221" i="22" s="1"/>
  <c r="O20" i="20" s="1"/>
  <c r="O116" i="23"/>
  <c r="O164" i="23" s="1"/>
  <c r="O219" i="24"/>
  <c r="O221" i="24" s="1"/>
  <c r="O30" i="20" s="1"/>
  <c r="O61" i="21"/>
  <c r="O114" i="21" s="1"/>
  <c r="O116" i="21" s="1"/>
  <c r="Q85" i="21"/>
  <c r="P102" i="21"/>
  <c r="P103" i="21" s="1"/>
  <c r="P92" i="21"/>
  <c r="P93" i="21" s="1"/>
  <c r="P102" i="23"/>
  <c r="P103" i="23" s="1"/>
  <c r="Q85" i="23"/>
  <c r="P92" i="23"/>
  <c r="P93" i="23" s="1"/>
  <c r="P40" i="22"/>
  <c r="P35" i="22"/>
  <c r="P28" i="22"/>
  <c r="P29" i="22" s="1"/>
  <c r="O205" i="22"/>
  <c r="O184" i="23"/>
  <c r="O191" i="23" s="1"/>
  <c r="O159" i="23"/>
  <c r="O161" i="23" s="1"/>
  <c r="O163" i="23" s="1"/>
  <c r="P185" i="21"/>
  <c r="P192" i="21" s="1"/>
  <c r="P197" i="21" s="1"/>
  <c r="P185" i="23"/>
  <c r="P192" i="23" s="1"/>
  <c r="P197" i="23" s="1"/>
  <c r="O184" i="24"/>
  <c r="O191" i="24" s="1"/>
  <c r="O204" i="24" s="1"/>
  <c r="O159" i="24"/>
  <c r="O161" i="24" s="1"/>
  <c r="O163" i="24" s="1"/>
  <c r="P141" i="21"/>
  <c r="P134" i="21"/>
  <c r="P135" i="21" s="1"/>
  <c r="P146" i="21"/>
  <c r="O116" i="22"/>
  <c r="P35" i="24"/>
  <c r="P28" i="24"/>
  <c r="P29" i="24" s="1"/>
  <c r="P40" i="24"/>
  <c r="P185" i="22"/>
  <c r="P192" i="22" s="1"/>
  <c r="P197" i="22" s="1"/>
  <c r="O184" i="22"/>
  <c r="O191" i="22" s="1"/>
  <c r="O204" i="22" s="1"/>
  <c r="O159" i="22"/>
  <c r="O161" i="22" s="1"/>
  <c r="P39" i="24"/>
  <c r="P92" i="22"/>
  <c r="P93" i="22" s="1"/>
  <c r="Q85" i="22"/>
  <c r="P102" i="22"/>
  <c r="P103" i="22" s="1"/>
  <c r="P35" i="21"/>
  <c r="P28" i="21"/>
  <c r="P29" i="21" s="1"/>
  <c r="P40" i="21"/>
  <c r="P134" i="22"/>
  <c r="P135" i="22" s="1"/>
  <c r="P146" i="22"/>
  <c r="P141" i="22"/>
  <c r="P141" i="24"/>
  <c r="P134" i="24"/>
  <c r="P135" i="24" s="1"/>
  <c r="P146" i="24"/>
  <c r="O116" i="24"/>
  <c r="O202" i="21"/>
  <c r="O219" i="21" s="1"/>
  <c r="O221" i="21" s="1"/>
  <c r="O10" i="20" s="1"/>
  <c r="P40" i="23"/>
  <c r="P35" i="23"/>
  <c r="P28" i="23"/>
  <c r="P29" i="23" s="1"/>
  <c r="P185" i="24"/>
  <c r="P192" i="24" s="1"/>
  <c r="P197" i="24" s="1"/>
  <c r="P141" i="23"/>
  <c r="P134" i="23"/>
  <c r="P135" i="23" s="1"/>
  <c r="P146" i="23"/>
  <c r="O202" i="23"/>
  <c r="O219" i="23" s="1"/>
  <c r="O221" i="23" s="1"/>
  <c r="O25" i="20" s="1"/>
  <c r="O205" i="24"/>
  <c r="O184" i="21"/>
  <c r="O191" i="21" s="1"/>
  <c r="O204" i="21" s="1"/>
  <c r="O206" i="21" s="1"/>
  <c r="O159" i="21"/>
  <c r="O161" i="21" s="1"/>
  <c r="O163" i="21" s="1"/>
  <c r="P102" i="24"/>
  <c r="P103" i="24" s="1"/>
  <c r="P92" i="24"/>
  <c r="P93" i="24" s="1"/>
  <c r="Q85" i="24"/>
  <c r="N221" i="12"/>
  <c r="N15" i="20" s="1"/>
  <c r="N166" i="12"/>
  <c r="O115" i="12"/>
  <c r="O160" i="12"/>
  <c r="O205" i="12"/>
  <c r="O157" i="12"/>
  <c r="O190" i="12"/>
  <c r="O200" i="12" s="1"/>
  <c r="O202" i="12" s="1"/>
  <c r="P87" i="12"/>
  <c r="P88" i="12" s="1"/>
  <c r="P106" i="12"/>
  <c r="P185" i="12" s="1"/>
  <c r="P192" i="12" s="1"/>
  <c r="P197" i="12" s="1"/>
  <c r="P134" i="12"/>
  <c r="P135" i="12" s="1"/>
  <c r="P182" i="12" s="1"/>
  <c r="P146" i="12"/>
  <c r="P141" i="12"/>
  <c r="P28" i="12"/>
  <c r="P29" i="12" s="1"/>
  <c r="P35" i="12"/>
  <c r="P40" i="12"/>
  <c r="O206" i="24" l="1"/>
  <c r="O206" i="22"/>
  <c r="P155" i="24"/>
  <c r="P142" i="24"/>
  <c r="P143" i="24" s="1"/>
  <c r="P182" i="24"/>
  <c r="P189" i="24" s="1"/>
  <c r="P196" i="24" s="1"/>
  <c r="P198" i="24" s="1"/>
  <c r="P214" i="24" s="1"/>
  <c r="P216" i="24" s="1"/>
  <c r="P29" i="20" s="1"/>
  <c r="P182" i="21"/>
  <c r="P189" i="21" s="1"/>
  <c r="P196" i="21" s="1"/>
  <c r="P198" i="21" s="1"/>
  <c r="P214" i="21" s="1"/>
  <c r="P216" i="21" s="1"/>
  <c r="P9" i="20" s="1"/>
  <c r="P142" i="21"/>
  <c r="P143" i="21" s="1"/>
  <c r="P155" i="21"/>
  <c r="O163" i="22"/>
  <c r="P155" i="22"/>
  <c r="P182" i="22"/>
  <c r="P189" i="22" s="1"/>
  <c r="P196" i="22" s="1"/>
  <c r="P198" i="22" s="1"/>
  <c r="P214" i="22" s="1"/>
  <c r="P216" i="22" s="1"/>
  <c r="P19" i="20" s="1"/>
  <c r="P142" i="22"/>
  <c r="P143" i="22" s="1"/>
  <c r="Q78" i="22"/>
  <c r="Q73" i="22"/>
  <c r="Q75" i="22" s="1"/>
  <c r="Q90" i="22"/>
  <c r="P170" i="21"/>
  <c r="P173" i="21" s="1"/>
  <c r="P98" i="21"/>
  <c r="P99" i="21" s="1"/>
  <c r="P107" i="21" s="1"/>
  <c r="P170" i="22"/>
  <c r="P173" i="22" s="1"/>
  <c r="P98" i="22"/>
  <c r="P99" i="22" s="1"/>
  <c r="P107" i="22" s="1"/>
  <c r="P51" i="22"/>
  <c r="P36" i="22"/>
  <c r="P37" i="22" s="1"/>
  <c r="Q73" i="21"/>
  <c r="Q75" i="21" s="1"/>
  <c r="Q78" i="21"/>
  <c r="Q90" i="21"/>
  <c r="Q78" i="24"/>
  <c r="Q73" i="24"/>
  <c r="Q75" i="24" s="1"/>
  <c r="Q90" i="24"/>
  <c r="P170" i="24"/>
  <c r="P173" i="24" s="1"/>
  <c r="P98" i="24"/>
  <c r="P99" i="24" s="1"/>
  <c r="P107" i="24" s="1"/>
  <c r="P142" i="23"/>
  <c r="P143" i="23" s="1"/>
  <c r="P155" i="23"/>
  <c r="P182" i="23"/>
  <c r="P189" i="23" s="1"/>
  <c r="P196" i="23" s="1"/>
  <c r="P198" i="23" s="1"/>
  <c r="P214" i="23" s="1"/>
  <c r="P216" i="23" s="1"/>
  <c r="P24" i="20" s="1"/>
  <c r="O164" i="24"/>
  <c r="O165" i="24" s="1"/>
  <c r="P51" i="24"/>
  <c r="P36" i="24"/>
  <c r="P37" i="24" s="1"/>
  <c r="O166" i="23"/>
  <c r="O165" i="23"/>
  <c r="P36" i="21"/>
  <c r="P37" i="21" s="1"/>
  <c r="P51" i="21"/>
  <c r="P98" i="23"/>
  <c r="P99" i="23" s="1"/>
  <c r="P107" i="23" s="1"/>
  <c r="P170" i="23"/>
  <c r="P173" i="23" s="1"/>
  <c r="Q73" i="23"/>
  <c r="Q75" i="23" s="1"/>
  <c r="Q90" i="23"/>
  <c r="Q78" i="23"/>
  <c r="P51" i="23"/>
  <c r="P36" i="23"/>
  <c r="P37" i="23" s="1"/>
  <c r="O164" i="21"/>
  <c r="O165" i="21" s="1"/>
  <c r="O164" i="22"/>
  <c r="O204" i="23"/>
  <c r="O206" i="23" s="1"/>
  <c r="O159" i="12"/>
  <c r="O161" i="12" s="1"/>
  <c r="O163" i="12" s="1"/>
  <c r="O184" i="12"/>
  <c r="O191" i="12" s="1"/>
  <c r="Q85" i="12"/>
  <c r="P92" i="12"/>
  <c r="P93" i="12" s="1"/>
  <c r="P102" i="12"/>
  <c r="P103" i="12" s="1"/>
  <c r="P155" i="12"/>
  <c r="P189" i="12" s="1"/>
  <c r="P196" i="12" s="1"/>
  <c r="P142" i="12"/>
  <c r="P143" i="12" s="1"/>
  <c r="P51" i="12"/>
  <c r="P36" i="12"/>
  <c r="P37" i="12" s="1"/>
  <c r="O166" i="24" l="1"/>
  <c r="P41" i="21"/>
  <c r="P42" i="21" s="1"/>
  <c r="Q34" i="21"/>
  <c r="Q79" i="23"/>
  <c r="Q80" i="23" s="1"/>
  <c r="Q86" i="23"/>
  <c r="Q91" i="23" s="1"/>
  <c r="P41" i="24"/>
  <c r="P42" i="24" s="1"/>
  <c r="Q34" i="24"/>
  <c r="Q86" i="24"/>
  <c r="Q91" i="24" s="1"/>
  <c r="Q79" i="24"/>
  <c r="Q80" i="24" s="1"/>
  <c r="P147" i="21"/>
  <c r="P148" i="21" s="1"/>
  <c r="P152" i="21" s="1"/>
  <c r="P153" i="21" s="1"/>
  <c r="Q140" i="21"/>
  <c r="Q86" i="22"/>
  <c r="Q91" i="22" s="1"/>
  <c r="Q79" i="22"/>
  <c r="Q80" i="22" s="1"/>
  <c r="O166" i="22"/>
  <c r="O165" i="22"/>
  <c r="P147" i="23"/>
  <c r="P148" i="23" s="1"/>
  <c r="P152" i="23" s="1"/>
  <c r="P153" i="23" s="1"/>
  <c r="Q140" i="23"/>
  <c r="P147" i="22"/>
  <c r="P148" i="22" s="1"/>
  <c r="P152" i="22" s="1"/>
  <c r="P153" i="22" s="1"/>
  <c r="Q140" i="22"/>
  <c r="P147" i="24"/>
  <c r="P148" i="24" s="1"/>
  <c r="P152" i="24" s="1"/>
  <c r="P153" i="24" s="1"/>
  <c r="Q140" i="24"/>
  <c r="Q34" i="22"/>
  <c r="P41" i="22"/>
  <c r="P42" i="22" s="1"/>
  <c r="P186" i="22"/>
  <c r="P193" i="22" s="1"/>
  <c r="P201" i="22" s="1"/>
  <c r="P108" i="22"/>
  <c r="P41" i="23"/>
  <c r="P42" i="23" s="1"/>
  <c r="Q34" i="23"/>
  <c r="P186" i="21"/>
  <c r="P193" i="21" s="1"/>
  <c r="P201" i="21" s="1"/>
  <c r="P108" i="21"/>
  <c r="P186" i="23"/>
  <c r="P193" i="23" s="1"/>
  <c r="P201" i="23" s="1"/>
  <c r="P108" i="23"/>
  <c r="P186" i="24"/>
  <c r="P193" i="24" s="1"/>
  <c r="P201" i="24" s="1"/>
  <c r="P108" i="24"/>
  <c r="Q79" i="21"/>
  <c r="Q80" i="21" s="1"/>
  <c r="Q86" i="21"/>
  <c r="O166" i="21"/>
  <c r="P98" i="12"/>
  <c r="P99" i="12" s="1"/>
  <c r="P107" i="12" s="1"/>
  <c r="P170" i="12"/>
  <c r="P173" i="12" s="1"/>
  <c r="O198" i="12"/>
  <c r="O204" i="12"/>
  <c r="O206" i="12" s="1"/>
  <c r="O114" i="12"/>
  <c r="O116" i="12" s="1"/>
  <c r="Q73" i="12"/>
  <c r="Q75" i="12" s="1"/>
  <c r="Q90" i="12"/>
  <c r="Q78" i="12"/>
  <c r="P147" i="12"/>
  <c r="P148" i="12" s="1"/>
  <c r="P152" i="12" s="1"/>
  <c r="P153" i="12" s="1"/>
  <c r="P183" i="12" s="1"/>
  <c r="Q140" i="12"/>
  <c r="Q34" i="12"/>
  <c r="P41" i="12"/>
  <c r="P42" i="12" s="1"/>
  <c r="Q106" i="22" l="1"/>
  <c r="Q87" i="22"/>
  <c r="Q88" i="22" s="1"/>
  <c r="Q22" i="22"/>
  <c r="Q24" i="22" s="1"/>
  <c r="Q27" i="22"/>
  <c r="Q39" i="22" s="1"/>
  <c r="P183" i="23"/>
  <c r="P190" i="23" s="1"/>
  <c r="P200" i="23" s="1"/>
  <c r="P202" i="23" s="1"/>
  <c r="P219" i="23" s="1"/>
  <c r="P221" i="23" s="1"/>
  <c r="P25" i="20" s="1"/>
  <c r="P156" i="23"/>
  <c r="P157" i="23" s="1"/>
  <c r="P187" i="24"/>
  <c r="P194" i="24" s="1"/>
  <c r="P205" i="24" s="1"/>
  <c r="P115" i="24"/>
  <c r="P160" i="24"/>
  <c r="Q145" i="24"/>
  <c r="Q133" i="24"/>
  <c r="Q128" i="24"/>
  <c r="Q130" i="24" s="1"/>
  <c r="Q22" i="24"/>
  <c r="Q24" i="24" s="1"/>
  <c r="Q27" i="24"/>
  <c r="P183" i="24"/>
  <c r="P190" i="24" s="1"/>
  <c r="P200" i="24" s="1"/>
  <c r="P202" i="24" s="1"/>
  <c r="P219" i="24" s="1"/>
  <c r="P221" i="24" s="1"/>
  <c r="P30" i="20" s="1"/>
  <c r="P156" i="24"/>
  <c r="P157" i="24" s="1"/>
  <c r="P169" i="24"/>
  <c r="P172" i="24" s="1"/>
  <c r="P174" i="24" s="1"/>
  <c r="P176" i="24" s="1"/>
  <c r="P178" i="24" s="1"/>
  <c r="P28" i="20" s="1"/>
  <c r="P47" i="24"/>
  <c r="P48" i="24" s="1"/>
  <c r="P52" i="24" s="1"/>
  <c r="P53" i="24" s="1"/>
  <c r="P61" i="24" s="1"/>
  <c r="P114" i="24" s="1"/>
  <c r="Q128" i="22"/>
  <c r="Q130" i="22" s="1"/>
  <c r="Q145" i="22"/>
  <c r="Q133" i="22"/>
  <c r="P169" i="23"/>
  <c r="P172" i="23" s="1"/>
  <c r="P174" i="23" s="1"/>
  <c r="P176" i="23" s="1"/>
  <c r="P178" i="23" s="1"/>
  <c r="P23" i="20" s="1"/>
  <c r="P47" i="23"/>
  <c r="P48" i="23" s="1"/>
  <c r="P52" i="23" s="1"/>
  <c r="P53" i="23" s="1"/>
  <c r="P61" i="23" s="1"/>
  <c r="P114" i="23" s="1"/>
  <c r="P156" i="22"/>
  <c r="P157" i="22" s="1"/>
  <c r="P183" i="22"/>
  <c r="P190" i="22" s="1"/>
  <c r="P200" i="22" s="1"/>
  <c r="P202" i="22" s="1"/>
  <c r="P219" i="22" s="1"/>
  <c r="P221" i="22" s="1"/>
  <c r="P20" i="20" s="1"/>
  <c r="P115" i="23"/>
  <c r="P160" i="23"/>
  <c r="P187" i="23"/>
  <c r="P194" i="23" s="1"/>
  <c r="P205" i="23" s="1"/>
  <c r="Q87" i="23"/>
  <c r="Q88" i="23" s="1"/>
  <c r="Q106" i="23"/>
  <c r="P115" i="22"/>
  <c r="P187" i="22"/>
  <c r="P194" i="22" s="1"/>
  <c r="P205" i="22" s="1"/>
  <c r="P160" i="22"/>
  <c r="Q128" i="21"/>
  <c r="Q130" i="21" s="1"/>
  <c r="Q145" i="21"/>
  <c r="Q133" i="21"/>
  <c r="Q106" i="21"/>
  <c r="Q87" i="21"/>
  <c r="Q88" i="21" s="1"/>
  <c r="P115" i="21"/>
  <c r="P160" i="21"/>
  <c r="P187" i="21"/>
  <c r="P194" i="21" s="1"/>
  <c r="P205" i="21" s="1"/>
  <c r="Q106" i="24"/>
  <c r="Q87" i="24"/>
  <c r="Q88" i="24" s="1"/>
  <c r="P183" i="21"/>
  <c r="P190" i="21" s="1"/>
  <c r="P200" i="21" s="1"/>
  <c r="P202" i="21" s="1"/>
  <c r="P219" i="21" s="1"/>
  <c r="P221" i="21" s="1"/>
  <c r="P10" i="20" s="1"/>
  <c r="P156" i="21"/>
  <c r="P157" i="21" s="1"/>
  <c r="Q27" i="21"/>
  <c r="Q22" i="21"/>
  <c r="Q24" i="21" s="1"/>
  <c r="Q22" i="23"/>
  <c r="Q24" i="23" s="1"/>
  <c r="Q27" i="23"/>
  <c r="Q91" i="21"/>
  <c r="P169" i="22"/>
  <c r="P172" i="22" s="1"/>
  <c r="P174" i="22" s="1"/>
  <c r="P176" i="22" s="1"/>
  <c r="P178" i="22" s="1"/>
  <c r="P18" i="20" s="1"/>
  <c r="P47" i="22"/>
  <c r="P48" i="22" s="1"/>
  <c r="P52" i="22" s="1"/>
  <c r="P53" i="22" s="1"/>
  <c r="P61" i="22" s="1"/>
  <c r="P114" i="22" s="1"/>
  <c r="Q145" i="23"/>
  <c r="Q133" i="23"/>
  <c r="Q128" i="23"/>
  <c r="Q130" i="23" s="1"/>
  <c r="P47" i="21"/>
  <c r="P48" i="21" s="1"/>
  <c r="P52" i="21" s="1"/>
  <c r="P53" i="21" s="1"/>
  <c r="P61" i="21" s="1"/>
  <c r="P114" i="21" s="1"/>
  <c r="P169" i="21"/>
  <c r="P172" i="21" s="1"/>
  <c r="P174" i="21" s="1"/>
  <c r="P176" i="21" s="1"/>
  <c r="P178" i="21" s="1"/>
  <c r="P8" i="20" s="1"/>
  <c r="O219" i="12"/>
  <c r="O221" i="12" s="1"/>
  <c r="O15" i="20" s="1"/>
  <c r="O214" i="12"/>
  <c r="O216" i="12" s="1"/>
  <c r="O14" i="20" s="1"/>
  <c r="P47" i="12"/>
  <c r="P48" i="12" s="1"/>
  <c r="P169" i="12"/>
  <c r="P172" i="12" s="1"/>
  <c r="P174" i="12" s="1"/>
  <c r="P176" i="12" s="1"/>
  <c r="P178" i="12" s="1"/>
  <c r="P13" i="20" s="1"/>
  <c r="P108" i="12"/>
  <c r="P187" i="12" s="1"/>
  <c r="P194" i="12" s="1"/>
  <c r="P186" i="12"/>
  <c r="P193" i="12" s="1"/>
  <c r="P201" i="12" s="1"/>
  <c r="O164" i="12"/>
  <c r="O166" i="12" s="1"/>
  <c r="Q86" i="12"/>
  <c r="Q91" i="12" s="1"/>
  <c r="Q79" i="12"/>
  <c r="Q80" i="12" s="1"/>
  <c r="Q133" i="12"/>
  <c r="Q145" i="12"/>
  <c r="Q128" i="12"/>
  <c r="Q130" i="12" s="1"/>
  <c r="P156" i="12"/>
  <c r="Q27" i="12"/>
  <c r="Q39" i="12" s="1"/>
  <c r="Q22" i="12"/>
  <c r="Q24" i="12" s="1"/>
  <c r="P116" i="24" l="1"/>
  <c r="P164" i="24" s="1"/>
  <c r="P116" i="22"/>
  <c r="P164" i="22" s="1"/>
  <c r="Q92" i="21"/>
  <c r="Q93" i="21" s="1"/>
  <c r="R85" i="21"/>
  <c r="Q102" i="21"/>
  <c r="Q103" i="21" s="1"/>
  <c r="Q39" i="23"/>
  <c r="Q40" i="23"/>
  <c r="Q35" i="23"/>
  <c r="Q28" i="23"/>
  <c r="Q29" i="23" s="1"/>
  <c r="Q146" i="21"/>
  <c r="Q134" i="21"/>
  <c r="Q135" i="21" s="1"/>
  <c r="Q141" i="21"/>
  <c r="P116" i="23"/>
  <c r="Q39" i="24"/>
  <c r="Q28" i="21"/>
  <c r="Q29" i="21" s="1"/>
  <c r="Q35" i="21"/>
  <c r="Q40" i="21"/>
  <c r="Q146" i="22"/>
  <c r="Q141" i="22"/>
  <c r="Q134" i="22"/>
  <c r="Q135" i="22" s="1"/>
  <c r="Q40" i="24"/>
  <c r="Q35" i="24"/>
  <c r="Q28" i="24"/>
  <c r="Q29" i="24" s="1"/>
  <c r="P184" i="23"/>
  <c r="P191" i="23" s="1"/>
  <c r="P204" i="23" s="1"/>
  <c r="P206" i="23" s="1"/>
  <c r="P159" i="23"/>
  <c r="P161" i="23" s="1"/>
  <c r="P163" i="23" s="1"/>
  <c r="Q39" i="21"/>
  <c r="P116" i="21"/>
  <c r="P184" i="22"/>
  <c r="P191" i="22" s="1"/>
  <c r="P204" i="22" s="1"/>
  <c r="P206" i="22" s="1"/>
  <c r="P159" i="22"/>
  <c r="P161" i="22" s="1"/>
  <c r="P163" i="22" s="1"/>
  <c r="Q146" i="24"/>
  <c r="Q141" i="24"/>
  <c r="Q134" i="24"/>
  <c r="Q135" i="24" s="1"/>
  <c r="Q185" i="21"/>
  <c r="Q192" i="21" s="1"/>
  <c r="Q197" i="21" s="1"/>
  <c r="Q185" i="23"/>
  <c r="Q192" i="23" s="1"/>
  <c r="Q197" i="23" s="1"/>
  <c r="P184" i="24"/>
  <c r="P191" i="24" s="1"/>
  <c r="P204" i="24" s="1"/>
  <c r="P206" i="24" s="1"/>
  <c r="P159" i="24"/>
  <c r="P161" i="24" s="1"/>
  <c r="P163" i="24" s="1"/>
  <c r="Q35" i="22"/>
  <c r="Q40" i="22"/>
  <c r="Q28" i="22"/>
  <c r="Q29" i="22" s="1"/>
  <c r="Q102" i="24"/>
  <c r="Q103" i="24" s="1"/>
  <c r="Q92" i="24"/>
  <c r="Q93" i="24" s="1"/>
  <c r="R85" i="24"/>
  <c r="Q102" i="23"/>
  <c r="Q103" i="23" s="1"/>
  <c r="R85" i="23"/>
  <c r="Q92" i="23"/>
  <c r="Q93" i="23" s="1"/>
  <c r="R85" i="22"/>
  <c r="Q102" i="22"/>
  <c r="Q103" i="22" s="1"/>
  <c r="Q92" i="22"/>
  <c r="Q93" i="22" s="1"/>
  <c r="P159" i="21"/>
  <c r="P161" i="21" s="1"/>
  <c r="P163" i="21" s="1"/>
  <c r="P184" i="21"/>
  <c r="P191" i="21" s="1"/>
  <c r="P204" i="21" s="1"/>
  <c r="P206" i="21" s="1"/>
  <c r="Q146" i="23"/>
  <c r="Q141" i="23"/>
  <c r="Q134" i="23"/>
  <c r="Q135" i="23" s="1"/>
  <c r="Q185" i="24"/>
  <c r="Q192" i="24" s="1"/>
  <c r="Q197" i="24" s="1"/>
  <c r="Q185" i="22"/>
  <c r="Q192" i="22" s="1"/>
  <c r="Q197" i="22" s="1"/>
  <c r="P52" i="12"/>
  <c r="P53" i="12" s="1"/>
  <c r="P61" i="12" s="1"/>
  <c r="P160" i="12"/>
  <c r="P115" i="12"/>
  <c r="P205" i="12"/>
  <c r="P157" i="12"/>
  <c r="P190" i="12"/>
  <c r="P200" i="12" s="1"/>
  <c r="O165" i="12"/>
  <c r="Q87" i="12"/>
  <c r="Q88" i="12" s="1"/>
  <c r="Q106" i="12"/>
  <c r="Q185" i="12" s="1"/>
  <c r="Q192" i="12" s="1"/>
  <c r="Q197" i="12" s="1"/>
  <c r="Q141" i="12"/>
  <c r="Q134" i="12"/>
  <c r="Q135" i="12" s="1"/>
  <c r="Q182" i="12" s="1"/>
  <c r="Q146" i="12"/>
  <c r="Q35" i="12"/>
  <c r="Q28" i="12"/>
  <c r="Q29" i="12" s="1"/>
  <c r="Q40" i="12"/>
  <c r="Q182" i="23" l="1"/>
  <c r="Q189" i="23" s="1"/>
  <c r="Q196" i="23" s="1"/>
  <c r="Q198" i="23" s="1"/>
  <c r="Q214" i="23" s="1"/>
  <c r="Q216" i="23" s="1"/>
  <c r="Q24" i="20" s="1"/>
  <c r="Q142" i="23"/>
  <c r="Q143" i="23" s="1"/>
  <c r="Q155" i="23"/>
  <c r="P166" i="22"/>
  <c r="P165" i="22"/>
  <c r="Q182" i="21"/>
  <c r="Q189" i="21" s="1"/>
  <c r="Q196" i="21" s="1"/>
  <c r="Q198" i="21" s="1"/>
  <c r="Q214" i="21" s="1"/>
  <c r="Q216" i="21" s="1"/>
  <c r="Q9" i="20" s="1"/>
  <c r="Q142" i="21"/>
  <c r="Q143" i="21" s="1"/>
  <c r="Q155" i="21"/>
  <c r="Q51" i="24"/>
  <c r="Q36" i="24"/>
  <c r="Q37" i="24" s="1"/>
  <c r="Q170" i="21"/>
  <c r="Q173" i="21" s="1"/>
  <c r="Q98" i="21"/>
  <c r="Q99" i="21" s="1"/>
  <c r="Q107" i="21" s="1"/>
  <c r="Q142" i="22"/>
  <c r="Q143" i="22" s="1"/>
  <c r="Q182" i="22"/>
  <c r="Q189" i="22" s="1"/>
  <c r="Q196" i="22" s="1"/>
  <c r="Q198" i="22" s="1"/>
  <c r="Q214" i="22" s="1"/>
  <c r="Q216" i="22" s="1"/>
  <c r="Q19" i="20" s="1"/>
  <c r="Q155" i="22"/>
  <c r="R78" i="22"/>
  <c r="R90" i="22"/>
  <c r="R73" i="22"/>
  <c r="R75" i="22" s="1"/>
  <c r="Q36" i="22"/>
  <c r="Q37" i="22" s="1"/>
  <c r="Q51" i="22"/>
  <c r="Q170" i="23"/>
  <c r="Q173" i="23" s="1"/>
  <c r="Q98" i="23"/>
  <c r="Q99" i="23" s="1"/>
  <c r="Q107" i="23" s="1"/>
  <c r="Q36" i="23"/>
  <c r="Q37" i="23" s="1"/>
  <c r="Q51" i="23"/>
  <c r="R90" i="23"/>
  <c r="R78" i="23"/>
  <c r="R73" i="23"/>
  <c r="R75" i="23" s="1"/>
  <c r="P164" i="21"/>
  <c r="P166" i="21" s="1"/>
  <c r="Q182" i="24"/>
  <c r="Q189" i="24" s="1"/>
  <c r="Q196" i="24" s="1"/>
  <c r="Q198" i="24" s="1"/>
  <c r="Q214" i="24" s="1"/>
  <c r="Q216" i="24" s="1"/>
  <c r="Q29" i="20" s="1"/>
  <c r="Q142" i="24"/>
  <c r="Q143" i="24" s="1"/>
  <c r="Q155" i="24"/>
  <c r="Q51" i="21"/>
  <c r="Q36" i="21"/>
  <c r="Q37" i="21" s="1"/>
  <c r="P165" i="24"/>
  <c r="P166" i="24"/>
  <c r="R73" i="24"/>
  <c r="R75" i="24" s="1"/>
  <c r="R78" i="24"/>
  <c r="R90" i="24"/>
  <c r="Q170" i="24"/>
  <c r="Q173" i="24" s="1"/>
  <c r="Q98" i="24"/>
  <c r="Q99" i="24" s="1"/>
  <c r="Q107" i="24" s="1"/>
  <c r="P164" i="23"/>
  <c r="P165" i="23" s="1"/>
  <c r="R90" i="21"/>
  <c r="R78" i="21"/>
  <c r="R73" i="21"/>
  <c r="R75" i="21" s="1"/>
  <c r="Q98" i="22"/>
  <c r="Q99" i="22" s="1"/>
  <c r="Q107" i="22" s="1"/>
  <c r="Q170" i="22"/>
  <c r="Q173" i="22" s="1"/>
  <c r="P159" i="12"/>
  <c r="P161" i="12" s="1"/>
  <c r="P163" i="12" s="1"/>
  <c r="P184" i="12"/>
  <c r="P191" i="12" s="1"/>
  <c r="Q102" i="12"/>
  <c r="Q103" i="12" s="1"/>
  <c r="R85" i="12"/>
  <c r="Q92" i="12"/>
  <c r="Q155" i="12"/>
  <c r="Q189" i="12" s="1"/>
  <c r="Q196"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47" i="21"/>
  <c r="Q148" i="21" s="1"/>
  <c r="Q152" i="21" s="1"/>
  <c r="Q153" i="21" s="1"/>
  <c r="R140" i="21"/>
  <c r="Q186" i="23"/>
  <c r="Q193" i="23" s="1"/>
  <c r="Q201" i="23" s="1"/>
  <c r="Q108" i="23"/>
  <c r="R79" i="22"/>
  <c r="R80" i="22" s="1"/>
  <c r="R86" i="22"/>
  <c r="Q186" i="21"/>
  <c r="Q193" i="21" s="1"/>
  <c r="Q201" i="21" s="1"/>
  <c r="Q108" i="21"/>
  <c r="Q186" i="22"/>
  <c r="Q193" i="22" s="1"/>
  <c r="Q201" i="22" s="1"/>
  <c r="Q108" i="22"/>
  <c r="Q41" i="21"/>
  <c r="Q42" i="21" s="1"/>
  <c r="R34" i="21"/>
  <c r="R79" i="23"/>
  <c r="R80" i="23" s="1"/>
  <c r="R86" i="23"/>
  <c r="R91" i="23" s="1"/>
  <c r="P166" i="23"/>
  <c r="R140" i="23"/>
  <c r="Q147" i="23"/>
  <c r="Q148" i="23" s="1"/>
  <c r="Q152" i="23" s="1"/>
  <c r="Q153" i="23" s="1"/>
  <c r="Q186" i="24"/>
  <c r="Q193" i="24" s="1"/>
  <c r="Q201" i="24" s="1"/>
  <c r="Q108" i="24"/>
  <c r="R86" i="21"/>
  <c r="R91" i="21" s="1"/>
  <c r="R79" i="21"/>
  <c r="R80" i="21" s="1"/>
  <c r="R86" i="24"/>
  <c r="R79" i="24"/>
  <c r="R80" i="24" s="1"/>
  <c r="P165" i="21"/>
  <c r="Q93" i="12"/>
  <c r="Q170" i="12" s="1"/>
  <c r="Q173" i="12" s="1"/>
  <c r="P198" i="12"/>
  <c r="P202" i="12"/>
  <c r="P204" i="12"/>
  <c r="P206" i="12" s="1"/>
  <c r="P114" i="12"/>
  <c r="P116" i="12" s="1"/>
  <c r="R78" i="12"/>
  <c r="R73" i="12"/>
  <c r="R75" i="12" s="1"/>
  <c r="R90" i="12"/>
  <c r="R140" i="12"/>
  <c r="Q147" i="12"/>
  <c r="Q148" i="12" s="1"/>
  <c r="Q152" i="12" s="1"/>
  <c r="Q153" i="12" s="1"/>
  <c r="Q183" i="12" s="1"/>
  <c r="Q41" i="12"/>
  <c r="Q42" i="12" s="1"/>
  <c r="R34" i="12"/>
  <c r="Q115" i="23" l="1"/>
  <c r="Q187" i="23"/>
  <c r="Q194" i="23" s="1"/>
  <c r="Q205" i="23" s="1"/>
  <c r="Q160" i="23"/>
  <c r="R27" i="23"/>
  <c r="R39" i="23" s="1"/>
  <c r="R22" i="23"/>
  <c r="R24" i="23" s="1"/>
  <c r="Q183" i="23"/>
  <c r="Q190" i="23" s="1"/>
  <c r="Q200" i="23" s="1"/>
  <c r="Q202" i="23" s="1"/>
  <c r="Q219" i="23" s="1"/>
  <c r="Q221" i="23" s="1"/>
  <c r="Q25" i="20" s="1"/>
  <c r="Q156" i="23"/>
  <c r="Q157" i="23" s="1"/>
  <c r="Q47" i="23"/>
  <c r="Q48" i="23" s="1"/>
  <c r="Q52" i="23" s="1"/>
  <c r="Q53" i="23" s="1"/>
  <c r="Q61" i="23" s="1"/>
  <c r="Q114" i="23" s="1"/>
  <c r="Q169" i="23"/>
  <c r="Q172" i="23" s="1"/>
  <c r="Q174" i="23" s="1"/>
  <c r="Q176" i="23" s="1"/>
  <c r="Q178" i="23" s="1"/>
  <c r="Q23" i="20" s="1"/>
  <c r="R91" i="24"/>
  <c r="R145" i="23"/>
  <c r="R128" i="23"/>
  <c r="R130" i="23" s="1"/>
  <c r="R133" i="23"/>
  <c r="Q187" i="22"/>
  <c r="Q194" i="22" s="1"/>
  <c r="Q205" i="22" s="1"/>
  <c r="Q115" i="22"/>
  <c r="Q160" i="22"/>
  <c r="Q183" i="24"/>
  <c r="Q190" i="24" s="1"/>
  <c r="Q200" i="24" s="1"/>
  <c r="Q202" i="24" s="1"/>
  <c r="Q219" i="24" s="1"/>
  <c r="Q221" i="24" s="1"/>
  <c r="Q30" i="20" s="1"/>
  <c r="Q156" i="24"/>
  <c r="Q157" i="24" s="1"/>
  <c r="R145" i="24"/>
  <c r="R133" i="24"/>
  <c r="R128" i="24"/>
  <c r="R130" i="24" s="1"/>
  <c r="R106" i="23"/>
  <c r="R87" i="23"/>
  <c r="R88" i="23" s="1"/>
  <c r="Q187" i="21"/>
  <c r="Q194" i="21" s="1"/>
  <c r="Q205" i="21" s="1"/>
  <c r="Q115" i="21"/>
  <c r="Q160" i="21"/>
  <c r="R145" i="21"/>
  <c r="R133" i="21"/>
  <c r="R128" i="21"/>
  <c r="R130" i="21" s="1"/>
  <c r="Q169" i="24"/>
  <c r="Q172" i="24" s="1"/>
  <c r="Q174" i="24" s="1"/>
  <c r="Q176" i="24" s="1"/>
  <c r="Q178" i="24" s="1"/>
  <c r="Q28" i="20" s="1"/>
  <c r="Q47" i="24"/>
  <c r="Q48" i="24" s="1"/>
  <c r="Q52" i="24" s="1"/>
  <c r="Q53" i="24" s="1"/>
  <c r="Q61" i="24" s="1"/>
  <c r="Q114" i="24" s="1"/>
  <c r="R87" i="21"/>
  <c r="R88" i="21" s="1"/>
  <c r="R106" i="21"/>
  <c r="Q183" i="21"/>
  <c r="Q190" i="21" s="1"/>
  <c r="Q200" i="21" s="1"/>
  <c r="Q202" i="21" s="1"/>
  <c r="Q219" i="21" s="1"/>
  <c r="Q221" i="21" s="1"/>
  <c r="Q10" i="20" s="1"/>
  <c r="Q156" i="21"/>
  <c r="Q157" i="21" s="1"/>
  <c r="R27" i="24"/>
  <c r="R39" i="24" s="1"/>
  <c r="R22" i="24"/>
  <c r="R24" i="24" s="1"/>
  <c r="R106" i="24"/>
  <c r="R87" i="24"/>
  <c r="R88" i="24" s="1"/>
  <c r="R27" i="21"/>
  <c r="R22" i="21"/>
  <c r="R24" i="21" s="1"/>
  <c r="R91" i="22"/>
  <c r="Q169" i="22"/>
  <c r="Q172" i="22" s="1"/>
  <c r="Q174" i="22" s="1"/>
  <c r="Q176" i="22" s="1"/>
  <c r="Q178" i="22" s="1"/>
  <c r="Q18" i="20" s="1"/>
  <c r="Q47" i="22"/>
  <c r="Q48" i="22" s="1"/>
  <c r="Q52" i="22" s="1"/>
  <c r="Q53" i="22" s="1"/>
  <c r="Q61" i="22" s="1"/>
  <c r="Q114" i="22" s="1"/>
  <c r="Q183" i="22"/>
  <c r="Q190" i="22" s="1"/>
  <c r="Q200" i="22" s="1"/>
  <c r="Q202" i="22" s="1"/>
  <c r="Q219" i="22" s="1"/>
  <c r="Q221" i="22" s="1"/>
  <c r="Q20" i="20" s="1"/>
  <c r="Q156" i="22"/>
  <c r="Q157" i="22" s="1"/>
  <c r="Q115" i="24"/>
  <c r="Q160" i="24"/>
  <c r="Q187" i="24"/>
  <c r="Q194" i="24" s="1"/>
  <c r="Q205" i="24" s="1"/>
  <c r="Q169" i="21"/>
  <c r="Q172" i="21" s="1"/>
  <c r="Q174" i="21" s="1"/>
  <c r="Q176" i="21" s="1"/>
  <c r="Q178" i="21" s="1"/>
  <c r="Q8" i="20" s="1"/>
  <c r="Q47" i="21"/>
  <c r="Q48" i="21" s="1"/>
  <c r="Q52" i="21" s="1"/>
  <c r="Q53" i="21" s="1"/>
  <c r="Q61" i="21" s="1"/>
  <c r="Q114" i="21" s="1"/>
  <c r="R106" i="22"/>
  <c r="R87" i="22"/>
  <c r="R88" i="22" s="1"/>
  <c r="R27" i="22"/>
  <c r="R39" i="22" s="1"/>
  <c r="R22" i="22"/>
  <c r="R24" i="22" s="1"/>
  <c r="R145" i="22"/>
  <c r="R133" i="22"/>
  <c r="R128" i="22"/>
  <c r="R130" i="22" s="1"/>
  <c r="P219" i="12"/>
  <c r="P221" i="12" s="1"/>
  <c r="P15" i="20" s="1"/>
  <c r="P214" i="12"/>
  <c r="P216" i="12" s="1"/>
  <c r="P14" i="20" s="1"/>
  <c r="Q98" i="12"/>
  <c r="Q99" i="12" s="1"/>
  <c r="Q47" i="12"/>
  <c r="Q48" i="12" s="1"/>
  <c r="Q52" i="12" s="1"/>
  <c r="Q53" i="12" s="1"/>
  <c r="Q61" i="12" s="1"/>
  <c r="Q169" i="12"/>
  <c r="Q172" i="12" s="1"/>
  <c r="Q174" i="12" s="1"/>
  <c r="Q176" i="12" s="1"/>
  <c r="Q178" i="12" s="1"/>
  <c r="Q13" i="20" s="1"/>
  <c r="P164" i="12"/>
  <c r="P166" i="12" s="1"/>
  <c r="R86" i="12"/>
  <c r="R91" i="12" s="1"/>
  <c r="R79" i="12"/>
  <c r="R80" i="12" s="1"/>
  <c r="Q156" i="12"/>
  <c r="R145" i="12"/>
  <c r="R133" i="12"/>
  <c r="R128" i="12"/>
  <c r="R130" i="12" s="1"/>
  <c r="R27" i="12"/>
  <c r="R39" i="12" s="1"/>
  <c r="R22" i="12"/>
  <c r="R24" i="12" s="1"/>
  <c r="Q116" i="21" l="1"/>
  <c r="Q164" i="21" s="1"/>
  <c r="R102" i="24"/>
  <c r="R103" i="24" s="1"/>
  <c r="R92" i="24"/>
  <c r="R93" i="24" s="1"/>
  <c r="R102" i="22"/>
  <c r="R103" i="22" s="1"/>
  <c r="R92" i="22"/>
  <c r="R93" i="22" s="1"/>
  <c r="Q184" i="24"/>
  <c r="Q191" i="24" s="1"/>
  <c r="Q204" i="24" s="1"/>
  <c r="Q206" i="24" s="1"/>
  <c r="Q159" i="24"/>
  <c r="Q161" i="24" s="1"/>
  <c r="Q163" i="24" s="1"/>
  <c r="R40" i="23"/>
  <c r="R35" i="23"/>
  <c r="R28" i="23"/>
  <c r="R29" i="23" s="1"/>
  <c r="R185" i="23"/>
  <c r="R192" i="23" s="1"/>
  <c r="R92" i="21"/>
  <c r="R93" i="21" s="1"/>
  <c r="R102" i="21"/>
  <c r="R103" i="21" s="1"/>
  <c r="R185" i="24"/>
  <c r="R192" i="24" s="1"/>
  <c r="Q184" i="21"/>
  <c r="Q191" i="21" s="1"/>
  <c r="Q204" i="21" s="1"/>
  <c r="Q206" i="21" s="1"/>
  <c r="Q159" i="21"/>
  <c r="Q161" i="21" s="1"/>
  <c r="Q163" i="21" s="1"/>
  <c r="R146" i="21"/>
  <c r="R141" i="21"/>
  <c r="R134" i="21"/>
  <c r="R135" i="21" s="1"/>
  <c r="Q116" i="22"/>
  <c r="R134" i="23"/>
  <c r="R135" i="23" s="1"/>
  <c r="R146" i="23"/>
  <c r="R141" i="23"/>
  <c r="R146" i="22"/>
  <c r="R141" i="22"/>
  <c r="R134" i="22"/>
  <c r="R135" i="22" s="1"/>
  <c r="R146" i="24"/>
  <c r="R134" i="24"/>
  <c r="R135" i="24" s="1"/>
  <c r="R141" i="24"/>
  <c r="R35" i="24"/>
  <c r="R40" i="24"/>
  <c r="R28" i="24"/>
  <c r="R29" i="24" s="1"/>
  <c r="R40" i="22"/>
  <c r="R28" i="22"/>
  <c r="R29" i="22" s="1"/>
  <c r="R35" i="22"/>
  <c r="Q116" i="24"/>
  <c r="R35" i="21"/>
  <c r="R28" i="21"/>
  <c r="R29" i="21" s="1"/>
  <c r="R40" i="21"/>
  <c r="Q116" i="23"/>
  <c r="R185" i="22"/>
  <c r="R192" i="22" s="1"/>
  <c r="R102" i="23"/>
  <c r="R103" i="23" s="1"/>
  <c r="R92" i="23"/>
  <c r="R93" i="23" s="1"/>
  <c r="Q159" i="22"/>
  <c r="Q161" i="22" s="1"/>
  <c r="Q163" i="22" s="1"/>
  <c r="Q184" i="22"/>
  <c r="Q191" i="22" s="1"/>
  <c r="Q204" i="22" s="1"/>
  <c r="Q206" i="22" s="1"/>
  <c r="R39" i="21"/>
  <c r="R185" i="21"/>
  <c r="R192" i="21" s="1"/>
  <c r="Q184" i="23"/>
  <c r="Q191" i="23" s="1"/>
  <c r="Q204" i="23" s="1"/>
  <c r="Q206" i="23" s="1"/>
  <c r="Q159" i="23"/>
  <c r="Q161" i="23" s="1"/>
  <c r="Q163" i="23" s="1"/>
  <c r="Q107" i="12"/>
  <c r="Q157" i="12"/>
  <c r="Q190" i="12"/>
  <c r="Q200" i="12" s="1"/>
  <c r="P165" i="12"/>
  <c r="R106" i="12"/>
  <c r="R185" i="12" s="1"/>
  <c r="R192" i="12" s="1"/>
  <c r="R87" i="12"/>
  <c r="R88" i="12" s="1"/>
  <c r="R141" i="12"/>
  <c r="R146" i="12"/>
  <c r="R134" i="12"/>
  <c r="R135" i="12" s="1"/>
  <c r="R182" i="12" s="1"/>
  <c r="R35" i="12"/>
  <c r="R40" i="12"/>
  <c r="R28" i="12"/>
  <c r="R29" i="12" s="1"/>
  <c r="H116" i="21" l="1"/>
  <c r="H164" i="21" s="1"/>
  <c r="Q166" i="21"/>
  <c r="R36" i="21"/>
  <c r="R37" i="21" s="1"/>
  <c r="R41" i="21" s="1"/>
  <c r="R42" i="21" s="1"/>
  <c r="R51" i="21"/>
  <c r="R170" i="21"/>
  <c r="R173" i="21" s="1"/>
  <c r="R98" i="21"/>
  <c r="R99" i="21" s="1"/>
  <c r="R107" i="21" s="1"/>
  <c r="Q165" i="21"/>
  <c r="R155" i="23"/>
  <c r="R182" i="23"/>
  <c r="R189" i="23" s="1"/>
  <c r="R142" i="23"/>
  <c r="R143" i="23" s="1"/>
  <c r="R147" i="23" s="1"/>
  <c r="R148" i="23" s="1"/>
  <c r="R152" i="23" s="1"/>
  <c r="R153" i="23" s="1"/>
  <c r="R98" i="23"/>
  <c r="R99" i="23" s="1"/>
  <c r="R107" i="23" s="1"/>
  <c r="R170" i="23"/>
  <c r="R173" i="23" s="1"/>
  <c r="Q164" i="24"/>
  <c r="Q165" i="24" s="1"/>
  <c r="H116" i="24"/>
  <c r="H164" i="24" s="1"/>
  <c r="R197" i="23"/>
  <c r="H192" i="23"/>
  <c r="H197" i="23" s="1"/>
  <c r="R36" i="23"/>
  <c r="R37" i="23" s="1"/>
  <c r="R41" i="23" s="1"/>
  <c r="R42" i="23" s="1"/>
  <c r="R51" i="23"/>
  <c r="R170" i="22"/>
  <c r="R173" i="22" s="1"/>
  <c r="R98" i="22"/>
  <c r="R99" i="22" s="1"/>
  <c r="R107" i="22" s="1"/>
  <c r="R197" i="21"/>
  <c r="H192" i="21"/>
  <c r="H197" i="21" s="1"/>
  <c r="R36" i="22"/>
  <c r="R37" i="22" s="1"/>
  <c r="R41" i="22" s="1"/>
  <c r="R42" i="22" s="1"/>
  <c r="R51" i="22"/>
  <c r="R155" i="24"/>
  <c r="R182" i="24"/>
  <c r="R189" i="24" s="1"/>
  <c r="R142" i="24"/>
  <c r="R143" i="24" s="1"/>
  <c r="R147" i="24" s="1"/>
  <c r="R148" i="24" s="1"/>
  <c r="R152" i="24" s="1"/>
  <c r="R153" i="24" s="1"/>
  <c r="R197" i="22"/>
  <c r="H192" i="22"/>
  <c r="H197" i="22" s="1"/>
  <c r="Q164" i="22"/>
  <c r="Q166" i="22" s="1"/>
  <c r="H116" i="22"/>
  <c r="H164" i="22" s="1"/>
  <c r="R197" i="24"/>
  <c r="H192" i="24"/>
  <c r="H197" i="24" s="1"/>
  <c r="R170" i="24"/>
  <c r="R173" i="24" s="1"/>
  <c r="R98" i="24"/>
  <c r="R99" i="24" s="1"/>
  <c r="R107" i="24" s="1"/>
  <c r="Q164" i="23"/>
  <c r="Q165" i="23" s="1"/>
  <c r="H116" i="23"/>
  <c r="H164" i="23"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86" i="12"/>
  <c r="Q193" i="12" s="1"/>
  <c r="Q201" i="12" s="1"/>
  <c r="Q108" i="12"/>
  <c r="H192" i="12"/>
  <c r="H197" i="12" s="1"/>
  <c r="R197" i="12"/>
  <c r="Q159" i="12"/>
  <c r="Q184" i="12"/>
  <c r="Q191" i="12" s="1"/>
  <c r="R92" i="12"/>
  <c r="R93" i="12" s="1"/>
  <c r="R102" i="12"/>
  <c r="R103" i="12" s="1"/>
  <c r="R155" i="12"/>
  <c r="R189" i="12" s="1"/>
  <c r="R142" i="12"/>
  <c r="R143" i="12" s="1"/>
  <c r="R51" i="12"/>
  <c r="R36" i="12"/>
  <c r="R37" i="12" s="1"/>
  <c r="Q166" i="24" l="1"/>
  <c r="R156" i="21"/>
  <c r="R157" i="21" s="1"/>
  <c r="R183" i="21"/>
  <c r="R190" i="21" s="1"/>
  <c r="R156" i="22"/>
  <c r="R157" i="22" s="1"/>
  <c r="R183" i="22"/>
  <c r="R190" i="22" s="1"/>
  <c r="R169" i="23"/>
  <c r="R172" i="23" s="1"/>
  <c r="R174" i="23" s="1"/>
  <c r="R176" i="23" s="1"/>
  <c r="R178" i="23" s="1"/>
  <c r="R23" i="20" s="1"/>
  <c r="R47" i="23"/>
  <c r="R48" i="23" s="1"/>
  <c r="R52" i="23" s="1"/>
  <c r="R53" i="23" s="1"/>
  <c r="R196" i="24"/>
  <c r="R198" i="24" s="1"/>
  <c r="H189" i="24"/>
  <c r="H196" i="24" s="1"/>
  <c r="R186" i="21"/>
  <c r="R193" i="21" s="1"/>
  <c r="R108" i="21"/>
  <c r="R186" i="23"/>
  <c r="R193" i="23" s="1"/>
  <c r="R108" i="23"/>
  <c r="R156" i="23"/>
  <c r="R157" i="23" s="1"/>
  <c r="R183" i="23"/>
  <c r="R190" i="23" s="1"/>
  <c r="R156" i="24"/>
  <c r="R157" i="24" s="1"/>
  <c r="R183" i="24"/>
  <c r="R190" i="24" s="1"/>
  <c r="R169" i="21"/>
  <c r="R172" i="21" s="1"/>
  <c r="R174" i="21" s="1"/>
  <c r="R176" i="21" s="1"/>
  <c r="R178" i="21" s="1"/>
  <c r="R8" i="20" s="1"/>
  <c r="R47" i="21"/>
  <c r="R48" i="21" s="1"/>
  <c r="R52" i="21" s="1"/>
  <c r="R53" i="21" s="1"/>
  <c r="Q165" i="22"/>
  <c r="R196" i="23"/>
  <c r="R198" i="23" s="1"/>
  <c r="H189" i="23"/>
  <c r="H196" i="23" s="1"/>
  <c r="R169" i="22"/>
  <c r="R172" i="22" s="1"/>
  <c r="R174" i="22" s="1"/>
  <c r="R176" i="22" s="1"/>
  <c r="R178" i="22" s="1"/>
  <c r="R18" i="20" s="1"/>
  <c r="R47" i="22"/>
  <c r="R48" i="22" s="1"/>
  <c r="R52" i="22" s="1"/>
  <c r="R53" i="22" s="1"/>
  <c r="R186" i="24"/>
  <c r="R193" i="24" s="1"/>
  <c r="R108" i="24"/>
  <c r="R169" i="24"/>
  <c r="R172" i="24" s="1"/>
  <c r="R174" i="24" s="1"/>
  <c r="R176" i="24" s="1"/>
  <c r="R178" i="24" s="1"/>
  <c r="R28" i="20" s="1"/>
  <c r="R47" i="24"/>
  <c r="R48" i="24" s="1"/>
  <c r="R52" i="24" s="1"/>
  <c r="R53" i="24" s="1"/>
  <c r="R196" i="21"/>
  <c r="R198" i="21" s="1"/>
  <c r="H189" i="21"/>
  <c r="H196" i="21" s="1"/>
  <c r="R196" i="22"/>
  <c r="R198" i="22" s="1"/>
  <c r="H189" i="22"/>
  <c r="H196" i="22" s="1"/>
  <c r="R186" i="22"/>
  <c r="R193" i="22" s="1"/>
  <c r="R108" i="22"/>
  <c r="Q166" i="23"/>
  <c r="Q187" i="12"/>
  <c r="Q194" i="12" s="1"/>
  <c r="Q205" i="12" s="1"/>
  <c r="Q160" i="12"/>
  <c r="Q161" i="12" s="1"/>
  <c r="Q115" i="12"/>
  <c r="R98" i="12"/>
  <c r="R99" i="12" s="1"/>
  <c r="R107" i="12" s="1"/>
  <c r="R108" i="12" s="1"/>
  <c r="R187" i="12" s="1"/>
  <c r="R194" i="12" s="1"/>
  <c r="R170" i="12"/>
  <c r="R173" i="12" s="1"/>
  <c r="H189" i="12"/>
  <c r="H196" i="12" s="1"/>
  <c r="R196" i="12"/>
  <c r="Q198" i="12"/>
  <c r="Q202" i="12"/>
  <c r="Q204" i="12"/>
  <c r="Q114" i="12"/>
  <c r="R147" i="12"/>
  <c r="R148" i="12" s="1"/>
  <c r="R152" i="12" s="1"/>
  <c r="R153" i="12" s="1"/>
  <c r="R41" i="12"/>
  <c r="R42" i="12" s="1"/>
  <c r="R214" i="21" l="1"/>
  <c r="R216" i="21" s="1"/>
  <c r="H198" i="21"/>
  <c r="H214" i="21" s="1"/>
  <c r="R214" i="23"/>
  <c r="R216" i="23" s="1"/>
  <c r="H198" i="23"/>
  <c r="H214" i="23" s="1"/>
  <c r="R61" i="21"/>
  <c r="R114" i="21" s="1"/>
  <c r="H53" i="21"/>
  <c r="R184" i="24"/>
  <c r="R191" i="24" s="1"/>
  <c r="R159" i="24"/>
  <c r="H157" i="24"/>
  <c r="R201" i="23"/>
  <c r="H193" i="23"/>
  <c r="H201" i="23" s="1"/>
  <c r="R61" i="23"/>
  <c r="R114" i="23" s="1"/>
  <c r="H53" i="23"/>
  <c r="R61" i="24"/>
  <c r="R114" i="24" s="1"/>
  <c r="H53" i="24"/>
  <c r="R200" i="24"/>
  <c r="H190" i="24"/>
  <c r="H200" i="24" s="1"/>
  <c r="R201" i="22"/>
  <c r="H193" i="22"/>
  <c r="H201" i="22" s="1"/>
  <c r="R184" i="23"/>
  <c r="R191" i="23" s="1"/>
  <c r="R159" i="23"/>
  <c r="H157" i="23"/>
  <c r="R200" i="23"/>
  <c r="H190" i="23"/>
  <c r="H200" i="23" s="1"/>
  <c r="R160" i="21"/>
  <c r="R187" i="21"/>
  <c r="R194" i="21" s="1"/>
  <c r="R115" i="21"/>
  <c r="H108" i="21"/>
  <c r="R200" i="22"/>
  <c r="H190" i="22"/>
  <c r="H200" i="22" s="1"/>
  <c r="R214" i="24"/>
  <c r="R216" i="24" s="1"/>
  <c r="H198" i="24"/>
  <c r="H214" i="24" s="1"/>
  <c r="R160" i="24"/>
  <c r="R187" i="24"/>
  <c r="R194" i="24" s="1"/>
  <c r="R115" i="24"/>
  <c r="H108" i="24"/>
  <c r="R201" i="21"/>
  <c r="H193" i="21"/>
  <c r="H201" i="21" s="1"/>
  <c r="R159" i="22"/>
  <c r="R184" i="22"/>
  <c r="R191" i="22" s="1"/>
  <c r="H157" i="22"/>
  <c r="R201" i="24"/>
  <c r="H193" i="24"/>
  <c r="H201" i="24" s="1"/>
  <c r="R214" i="22"/>
  <c r="R216" i="22" s="1"/>
  <c r="H198" i="22"/>
  <c r="H214" i="22" s="1"/>
  <c r="R200" i="21"/>
  <c r="H190" i="21"/>
  <c r="H200" i="21" s="1"/>
  <c r="R160" i="22"/>
  <c r="R187" i="22"/>
  <c r="R194" i="22" s="1"/>
  <c r="R115" i="22"/>
  <c r="H108" i="22"/>
  <c r="R61" i="22"/>
  <c r="R114" i="22" s="1"/>
  <c r="H53" i="22"/>
  <c r="R187" i="23"/>
  <c r="R194" i="23" s="1"/>
  <c r="R115" i="23"/>
  <c r="R160" i="23"/>
  <c r="H108" i="23"/>
  <c r="R184" i="21"/>
  <c r="R191" i="21" s="1"/>
  <c r="R159" i="21"/>
  <c r="H157" i="21"/>
  <c r="Q219" i="12"/>
  <c r="Q221" i="12" s="1"/>
  <c r="Q15" i="20" s="1"/>
  <c r="Q214" i="12"/>
  <c r="Q216" i="12" s="1"/>
  <c r="Q14" i="20" s="1"/>
  <c r="R156" i="12"/>
  <c r="R157" i="12" s="1"/>
  <c r="R183" i="12"/>
  <c r="R190" i="12" s="1"/>
  <c r="Q206" i="12"/>
  <c r="Q163" i="12"/>
  <c r="R186" i="12"/>
  <c r="R193" i="12" s="1"/>
  <c r="H193" i="12" s="1"/>
  <c r="H201" i="12" s="1"/>
  <c r="Q116" i="12"/>
  <c r="Q164" i="12" s="1"/>
  <c r="R47" i="12"/>
  <c r="R48" i="12" s="1"/>
  <c r="R52" i="12" s="1"/>
  <c r="R53" i="12" s="1"/>
  <c r="R61" i="12" s="1"/>
  <c r="R169" i="12"/>
  <c r="R172" i="12" s="1"/>
  <c r="R174" i="12" s="1"/>
  <c r="R176" i="12" s="1"/>
  <c r="R178" i="12" s="1"/>
  <c r="R13" i="20" s="1"/>
  <c r="R160" i="12"/>
  <c r="R115" i="12"/>
  <c r="R205" i="12"/>
  <c r="H194" i="12"/>
  <c r="R161" i="23" l="1"/>
  <c r="R163" i="23" s="1"/>
  <c r="R165" i="23" s="1"/>
  <c r="F165" i="23" s="1"/>
  <c r="F17" i="9" s="1"/>
  <c r="R161" i="22"/>
  <c r="R163" i="22" s="1"/>
  <c r="R165" i="22" s="1"/>
  <c r="F165" i="22" s="1"/>
  <c r="F16" i="9" s="1"/>
  <c r="R204" i="22"/>
  <c r="H191" i="22"/>
  <c r="H204" i="22" s="1"/>
  <c r="H216" i="24"/>
  <c r="H29" i="20" s="1"/>
  <c r="R29" i="20"/>
  <c r="R204" i="24"/>
  <c r="H191" i="24"/>
  <c r="H204" i="24" s="1"/>
  <c r="R205" i="23"/>
  <c r="H194" i="23"/>
  <c r="H205" i="23" s="1"/>
  <c r="H159" i="23"/>
  <c r="H184" i="23"/>
  <c r="R202" i="21"/>
  <c r="H184" i="21"/>
  <c r="H159" i="21"/>
  <c r="H187" i="24"/>
  <c r="H115" i="24"/>
  <c r="H160" i="24"/>
  <c r="H160" i="21"/>
  <c r="H187" i="21"/>
  <c r="H115" i="21"/>
  <c r="R204" i="23"/>
  <c r="H191" i="23"/>
  <c r="H204" i="23" s="1"/>
  <c r="H115" i="22"/>
  <c r="H187" i="22"/>
  <c r="H160" i="22"/>
  <c r="H216" i="23"/>
  <c r="H24" i="20" s="1"/>
  <c r="R24" i="20"/>
  <c r="H216" i="22"/>
  <c r="H19" i="20" s="1"/>
  <c r="R19" i="20"/>
  <c r="R204" i="21"/>
  <c r="H191" i="21"/>
  <c r="H204" i="21" s="1"/>
  <c r="R202" i="24"/>
  <c r="R205" i="24"/>
  <c r="H194" i="24"/>
  <c r="H205" i="24" s="1"/>
  <c r="R205" i="21"/>
  <c r="H194" i="21"/>
  <c r="H205" i="21" s="1"/>
  <c r="R202" i="22"/>
  <c r="R202" i="23"/>
  <c r="H187" i="23"/>
  <c r="H160" i="23"/>
  <c r="H115" i="23"/>
  <c r="R205" i="22"/>
  <c r="H194" i="22"/>
  <c r="H205" i="22" s="1"/>
  <c r="H184" i="22"/>
  <c r="H159" i="22"/>
  <c r="R161" i="24"/>
  <c r="R161" i="21"/>
  <c r="H184" i="24"/>
  <c r="H159" i="24"/>
  <c r="H216" i="21"/>
  <c r="H9" i="20" s="1"/>
  <c r="R9" i="20"/>
  <c r="R114" i="12"/>
  <c r="Q166" i="12"/>
  <c r="R201" i="12"/>
  <c r="H116" i="12"/>
  <c r="H164" i="12" s="1"/>
  <c r="H190" i="12"/>
  <c r="H200" i="12" s="1"/>
  <c r="R200" i="12"/>
  <c r="H205" i="12"/>
  <c r="Q165" i="12"/>
  <c r="R159" i="12"/>
  <c r="R161" i="12" s="1"/>
  <c r="H161" i="12" s="1"/>
  <c r="H163" i="12" s="1"/>
  <c r="R184" i="12"/>
  <c r="R191" i="12" s="1"/>
  <c r="H161" i="22" l="1"/>
  <c r="H163" i="22" s="1"/>
  <c r="H161" i="23"/>
  <c r="H163" i="23" s="1"/>
  <c r="R206" i="21"/>
  <c r="H206" i="21" s="1"/>
  <c r="R206" i="22"/>
  <c r="H206" i="22" s="1"/>
  <c r="R206" i="24"/>
  <c r="H206" i="24" s="1"/>
  <c r="R206" i="23"/>
  <c r="H206" i="23" s="1"/>
  <c r="R219" i="22"/>
  <c r="R221" i="22" s="1"/>
  <c r="H202" i="22"/>
  <c r="H219" i="22" s="1"/>
  <c r="R219" i="21"/>
  <c r="R221" i="21" s="1"/>
  <c r="H202" i="21"/>
  <c r="H219" i="21" s="1"/>
  <c r="R219" i="24"/>
  <c r="R221" i="24" s="1"/>
  <c r="H202" i="24"/>
  <c r="H219" i="24" s="1"/>
  <c r="R163" i="21"/>
  <c r="R165" i="21" s="1"/>
  <c r="F165" i="21" s="1"/>
  <c r="F14" i="9" s="1"/>
  <c r="H161" i="21"/>
  <c r="H163" i="21" s="1"/>
  <c r="R163" i="24"/>
  <c r="R165" i="24" s="1"/>
  <c r="F165" i="24" s="1"/>
  <c r="F18" i="9" s="1"/>
  <c r="H161" i="24"/>
  <c r="H163" i="24" s="1"/>
  <c r="R219" i="23"/>
  <c r="R221" i="23" s="1"/>
  <c r="H202" i="23"/>
  <c r="H219" i="23" s="1"/>
  <c r="R163" i="12"/>
  <c r="R198" i="12"/>
  <c r="R202" i="12"/>
  <c r="R204" i="12"/>
  <c r="R206" i="12" s="1"/>
  <c r="H206" i="12" s="1"/>
  <c r="H191" i="12"/>
  <c r="R165" i="12" l="1"/>
  <c r="F165" i="12" s="1"/>
  <c r="F15" i="9" s="1"/>
  <c r="H221" i="23"/>
  <c r="H25" i="20" s="1"/>
  <c r="R25" i="20"/>
  <c r="H221" i="21"/>
  <c r="H10" i="20" s="1"/>
  <c r="R10" i="20"/>
  <c r="H221" i="24"/>
  <c r="H30" i="20" s="1"/>
  <c r="R30" i="20"/>
  <c r="H221" i="22"/>
  <c r="H20" i="20" s="1"/>
  <c r="R20" i="20"/>
  <c r="H202" i="12"/>
  <c r="R219" i="12"/>
  <c r="R221" i="12" s="1"/>
  <c r="R15" i="20" s="1"/>
  <c r="H198" i="12"/>
  <c r="R214" i="12"/>
  <c r="R216" i="12" s="1"/>
  <c r="R14" i="20" s="1"/>
  <c r="H204" i="12"/>
  <c r="H108" i="12"/>
  <c r="H187" i="12" s="1"/>
  <c r="H53" i="12"/>
  <c r="H157" i="12"/>
  <c r="H216" i="12" l="1"/>
  <c r="H14" i="20" s="1"/>
  <c r="H221" i="12"/>
  <c r="H15" i="20" s="1"/>
  <c r="H214" i="12"/>
  <c r="H219" i="12"/>
  <c r="H159" i="12"/>
  <c r="H184" i="12"/>
  <c r="H160" i="12"/>
  <c r="H115" i="12"/>
  <c r="F9" i="9" l="1"/>
  <c r="F2" i="24" s="1"/>
  <c r="F2" i="22" l="1"/>
  <c r="F2" i="23"/>
  <c r="F2" i="20"/>
  <c r="F2" i="21"/>
  <c r="C49" i="17"/>
  <c r="F2" i="9"/>
  <c r="F2" i="7"/>
  <c r="F2" i="16"/>
  <c r="F2" i="12"/>
  <c r="F2" i="8"/>
</calcChain>
</file>

<file path=xl/sharedStrings.xml><?xml version="1.0" encoding="utf-8"?>
<sst xmlns="http://schemas.openxmlformats.org/spreadsheetml/2006/main" count="1053" uniqueCount="435">
  <si>
    <t>Filename:</t>
  </si>
  <si>
    <t>Date:</t>
  </si>
  <si>
    <t>Error check status</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</si>
  <si>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</si>
  <si>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</si>
  <si>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</si>
  <si>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</si>
  <si>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</si>
  <si>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</si>
  <si>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</si>
  <si>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</si>
  <si>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</si>
  <si>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</si>
  <si>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</si>
  <si>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</si>
  <si>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</si>
  <si>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</si>
  <si>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</si>
  <si>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</si>
  <si>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</si>
  <si>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</si>
  <si>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</si>
  <si>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</si>
  <si>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</si>
  <si>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</si>
  <si>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</si>
  <si>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</si>
  <si>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</si>
  <si>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</si>
  <si>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</si>
  <si>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</si>
  <si>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</si>
  <si>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</si>
  <si>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</si>
  <si>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</si>
  <si>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</si>
  <si>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</si>
  <si>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</si>
  <si>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</si>
  <si>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</si>
  <si>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</si>
  <si>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</si>
  <si>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</si>
  <si>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</si>
  <si>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</si>
  <si>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</si>
  <si>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</si>
  <si>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</si>
  <si>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</si>
  <si>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</si>
  <si>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</si>
  <si>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</si>
  <si>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</si>
  <si>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</si>
  <si>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</si>
  <si>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</si>
  <si>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</si>
  <si>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</si>
  <si>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</si>
  <si>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</si>
  <si>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</si>
  <si>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</si>
  <si>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</si>
  <si>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</si>
  <si>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</si>
  <si>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</si>
  <si>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Model documentation sheet</t>
  </si>
  <si>
    <t>Flags, part period factors (PPFs) and dates</t>
  </si>
  <si>
    <t>Explanation of different formatting types</t>
  </si>
  <si>
    <t>Table of contents</t>
  </si>
  <si>
    <t>Inputs - row format</t>
  </si>
  <si>
    <t>Error chks</t>
  </si>
  <si>
    <t>Constant</t>
  </si>
  <si>
    <t>Unit</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</si>
  <si>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</si>
  <si>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</si>
  <si>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</si>
  <si>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</si>
  <si>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</si>
  <si>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</si>
  <si>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</si>
  <si>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</si>
  <si>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</si>
  <si>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</si>
  <si>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</si>
  <si>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</si>
  <si>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</si>
  <si>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</si>
  <si>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t>
  </si>
  <si>
    <t>NON CHANGEABLE INPUTS</t>
  </si>
  <si>
    <t>Model Tolerance</t>
  </si>
  <si>
    <t>Model Check Tolerance Level</t>
  </si>
  <si>
    <t>tolerance</t>
  </si>
  <si>
    <t>Total</t>
  </si>
  <si>
    <t>%</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</si>
  <si>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</si>
  <si>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</si>
  <si>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</si>
  <si>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</si>
  <si>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</si>
  <si>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</si>
  <si>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</si>
  <si>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</si>
  <si>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</si>
  <si>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</si>
  <si>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</si>
  <si>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</si>
  <si>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</si>
  <si>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</si>
  <si>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</si>
  <si>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</si>
  <si>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</si>
  <si>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</si>
  <si>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</si>
  <si>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</si>
  <si>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</si>
  <si>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</si>
  <si>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</si>
  <si>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</si>
  <si>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</si>
  <si>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</si>
  <si>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</si>
  <si>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</si>
  <si>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</si>
  <si>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</si>
  <si>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</si>
  <si>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</si>
  <si>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</si>
  <si>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</si>
  <si>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</si>
  <si>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</si>
  <si>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</si>
  <si>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</si>
  <si>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</si>
  <si>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</si>
  <si>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</si>
  <si>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</si>
  <si>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</si>
  <si>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</si>
  <si>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</si>
  <si>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</si>
  <si>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</si>
  <si>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</si>
  <si>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</si>
  <si>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</si>
  <si>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</si>
  <si>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</si>
  <si>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</si>
  <si>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Actual nominal revenue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</si>
  <si>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</si>
  <si>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</si>
  <si>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</si>
  <si>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</si>
  <si>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</si>
  <si>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</si>
  <si>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</si>
  <si>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RCV returns based on actual wedge</t>
  </si>
  <si>
    <t>Nominal return company should have received</t>
  </si>
  <si>
    <t>Revenue based on actual wedge</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</si>
  <si>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</si>
  <si>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</si>
  <si>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</si>
  <si>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</si>
  <si>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balance BEG</t>
  </si>
  <si>
    <t>True up Nominal RCV balance END</t>
  </si>
  <si>
    <t>True-up correctly calculates revenue adjustment</t>
  </si>
  <si>
    <t>CHECK SUMMARY</t>
  </si>
  <si>
    <t>Total Checks</t>
  </si>
  <si>
    <t xml:space="preserve">check </t>
  </si>
  <si>
    <t>[do not delete this row]</t>
  </si>
  <si>
    <t>[range start]</t>
  </si>
  <si>
    <t>[range ends]</t>
  </si>
  <si>
    <t>Track Tolerance Level</t>
  </si>
  <si>
    <t>Actual average RCV balance</t>
  </si>
  <si>
    <t>Forecast nominal return calculation has been amended to only calculate during the forecast period</t>
  </si>
  <si>
    <t>Nominal return company should have received calculation has been amended to only calculate during the forecast period</t>
  </si>
  <si>
    <t>True up nominal return calculation has been amended to only calculate during the forecast period</t>
  </si>
  <si>
    <t>Actual and True up nominal RCV inputs have been amended to be formula driven to equal Forecast nominal RCV.</t>
  </si>
  <si>
    <t>Changes since December 2017 version</t>
  </si>
  <si>
    <t>Label has been amended from 'Actual RCV balance' to 'Actual average RCV balance'.</t>
  </si>
  <si>
    <t>Changes since March 2018 version</t>
  </si>
  <si>
    <t>FINAL DETERMINATION ASSUMPTIONS</t>
  </si>
  <si>
    <t>RPI - final determination</t>
  </si>
  <si>
    <t>CPI(H) - final determination</t>
  </si>
  <si>
    <t>OUTTURN INFLATION</t>
  </si>
  <si>
    <t>RPI - outturn</t>
  </si>
  <si>
    <t>CPI(H) - outturn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</si>
  <si>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</si>
  <si>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</si>
  <si>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</si>
  <si>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</si>
  <si>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</si>
  <si>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</si>
  <si>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</si>
  <si>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</si>
  <si>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</si>
  <si>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</si>
  <si>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</si>
  <si>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</si>
  <si>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</si>
  <si>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</si>
  <si>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</si>
  <si>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</si>
  <si>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</si>
  <si>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</si>
  <si>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</si>
  <si>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</si>
  <si>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</si>
  <si>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</si>
  <si>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</si>
  <si>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</si>
  <si>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</si>
  <si>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</si>
  <si>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</si>
  <si>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</si>
  <si>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</si>
  <si>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</si>
  <si>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</si>
  <si>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</si>
  <si>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</si>
  <si>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</si>
  <si>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</si>
  <si>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</si>
  <si>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</si>
  <si>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</si>
  <si>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</si>
  <si>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</si>
  <si>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</si>
  <si>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</si>
  <si>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</si>
  <si>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</si>
  <si>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</si>
  <si>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</si>
  <si>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</si>
  <si>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</si>
  <si>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</si>
  <si>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</si>
  <si>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</si>
  <si>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</si>
  <si>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</si>
  <si>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</si>
  <si>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</si>
  <si>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</si>
  <si>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</si>
  <si>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</si>
  <si>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</si>
  <si>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</si>
  <si>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</si>
  <si>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</si>
  <si>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</si>
  <si>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</si>
  <si>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</si>
  <si>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</si>
  <si>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</si>
  <si>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</si>
  <si>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</si>
  <si>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</si>
  <si>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</si>
  <si>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</si>
  <si>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This section replicates the RCV calculations in the PR19 final determination financial model.</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</si>
  <si>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</si>
  <si>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</si>
  <si>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</si>
  <si>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This section calculates the revenue that the company should have been allowed, assuming that Ofwat had perfect foresight of the actual RPI CPIH wedge.</t>
  </si>
  <si>
    <t>This section works out the value of the true up to be applied.</t>
  </si>
  <si>
    <t>This section compares the actual revenue the company received with the revenue Ofwat would have allowed if it had perfect foresight of the RPI CPIH wedge.</t>
  </si>
  <si>
    <t>Total nominal revenue company should have received</t>
  </si>
  <si>
    <t>Difference in nominal revenue</t>
  </si>
  <si>
    <t>Value of True up nominal</t>
  </si>
  <si>
    <t>Value of True up run-off - real</t>
  </si>
  <si>
    <t>Time value of money factors</t>
  </si>
  <si>
    <t>Financing cost index</t>
  </si>
  <si>
    <t xml:space="preserve">Time value of money factor </t>
  </si>
  <si>
    <t>Factor</t>
  </si>
  <si>
    <t>Revenue adjustment for run-off</t>
  </si>
  <si>
    <t>Revenue adjustment for return</t>
  </si>
  <si>
    <t>Value of True up return - real</t>
  </si>
  <si>
    <t>Difference RCV average - real</t>
  </si>
  <si>
    <t>RCV expressed in real terms</t>
  </si>
  <si>
    <t>Revenue expressed in real terms and with time value of money adjustment applied</t>
  </si>
  <si>
    <t>Include calculations to express values in real terms and apply time value of money adjustment on the revenue adjustments for run-off and return.</t>
  </si>
  <si>
    <t>Author:</t>
  </si>
  <si>
    <t>Author contact information:</t>
  </si>
  <si>
    <t>RPI and CPIH indexation</t>
  </si>
  <si>
    <t>Workbook title:</t>
  </si>
  <si>
    <t>Version:</t>
  </si>
  <si>
    <t>Ofwat</t>
  </si>
  <si>
    <t>Summary of workbook:</t>
  </si>
  <si>
    <t>Known limitations:</t>
  </si>
  <si>
    <t>Instructions:</t>
  </si>
  <si>
    <t>Amendments:</t>
  </si>
  <si>
    <t>References:</t>
  </si>
  <si>
    <t>Error Checks:</t>
  </si>
  <si>
    <t>RAG status / Variance</t>
  </si>
  <si>
    <t>END OF SHEET</t>
  </si>
  <si>
    <t>Quality Control</t>
  </si>
  <si>
    <t>Key outputs</t>
  </si>
  <si>
    <t>RPI-CPIH wedge true up</t>
  </si>
  <si>
    <t>New input lines for RPI, CPIH index values, financing cost index and Real CPIH based WACC.</t>
  </si>
  <si>
    <t>Removed items made redundant by new input lines and the new 'Index' sheet.</t>
  </si>
  <si>
    <t>New sheet to calculate indexation factors.</t>
  </si>
  <si>
    <t>Relinked to new 'Index' sheet where previously linked to items removed from 'InpR'.</t>
  </si>
  <si>
    <t>'InpR' Rows 9 to 67</t>
  </si>
  <si>
    <t>'InpR' Rows 71 to 94</t>
  </si>
  <si>
    <t xml:space="preserve">'Index' </t>
  </si>
  <si>
    <t xml:space="preserve">'Calcs' </t>
  </si>
  <si>
    <t>'Calcs' Rows 189 to 245</t>
  </si>
  <si>
    <t>'InpC' 34 &amp; 36</t>
  </si>
  <si>
    <t>'Calc' 118</t>
  </si>
  <si>
    <t>'Calc' 51</t>
  </si>
  <si>
    <t>'Calc' 124</t>
  </si>
  <si>
    <t>'Calc' 179</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</si>
  <si>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</si>
  <si>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</si>
  <si>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</si>
  <si>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Forecast RPI and CPIH index values included in the final determination</t>
  </si>
  <si>
    <t>Actual RPI and CPIH index values published by ONS</t>
  </si>
  <si>
    <t>True up Nominal RCV average balance</t>
  </si>
  <si>
    <t>Actual Nominal RCV residual balance</t>
  </si>
  <si>
    <t>True up Nominal RCV run-off</t>
  </si>
  <si>
    <t>True up Nominal return</t>
  </si>
  <si>
    <t>Total True up Nominal revenue to company</t>
  </si>
  <si>
    <t>Value of True up total - real</t>
  </si>
  <si>
    <t>Changes since February 2020 version</t>
  </si>
  <si>
    <t>Run-off rate - CPI(H) + RPI wedge - active - WN</t>
  </si>
  <si>
    <t>RCV - CPI(H) + RPI wedge initial balance - nominal - WR</t>
  </si>
  <si>
    <t>Run-off rate - CPI(H) + RPI wedge - active - WR</t>
  </si>
  <si>
    <t>Run-off rate - CPI(H) + RPI wedge - active - WWN</t>
  </si>
  <si>
    <t>Run-off rate - CPI(H) + RPI wedge - active - BR</t>
  </si>
  <si>
    <t>Run-off rate - CPI(H) + RPI wedge - active - DMMY</t>
  </si>
  <si>
    <t>WACC real on RCV - CPI(H) bf and additions - WR</t>
  </si>
  <si>
    <t>WACC on RCV - CPI(H) + RPI wedge bf and additions - WR</t>
  </si>
  <si>
    <t>WACC real on RCV - CPI(H) bf and additions - WN</t>
  </si>
  <si>
    <t>WACC on RCV - CPI(H) + RPI wedge bf and additions - WN</t>
  </si>
  <si>
    <t>WACC real on RCV - CPI(H) bf and additions - WWN</t>
  </si>
  <si>
    <t>WACC on RCV - CPI(H) + RPI wedge bf and additions - WWN</t>
  </si>
  <si>
    <t>WACC real on RCV - CPI(H) bf and additions - BR</t>
  </si>
  <si>
    <t>WACC on RCV - CPI(H) + RPI wedge bf and additions - BR</t>
  </si>
  <si>
    <t>WACC real on RCV - CPI(H) bf and additions - DMMY</t>
  </si>
  <si>
    <t>WACC on RCV - CPI(H) + RPI wedge bf and additions - DMMY</t>
  </si>
  <si>
    <t>RCV - CPI(H) + RPI wedge initial balance - nominal - WN</t>
  </si>
  <si>
    <t>RCV - CPI(H) + RPI wedge initial balance - nominal - WWN</t>
  </si>
  <si>
    <t>RCV - CPI(H) + RPI wedge initial balance - nominal - BR</t>
  </si>
  <si>
    <t>RCV - CPI(H) + RPI wedge initial balance - nominal - DMMY</t>
  </si>
  <si>
    <t>2020 RCV RPI inflated - initial balance - nominal</t>
  </si>
  <si>
    <t>2020 RCV RPI inflated - run-off rate</t>
  </si>
  <si>
    <t>Real RPI based wholesale WACC</t>
  </si>
  <si>
    <t>Real CPIH based wholesale WACC</t>
  </si>
  <si>
    <t>Water Resources</t>
  </si>
  <si>
    <t>Water Network</t>
  </si>
  <si>
    <t>Wastewater Network</t>
  </si>
  <si>
    <t>Bio Resources</t>
  </si>
  <si>
    <t>Dummy Control</t>
  </si>
  <si>
    <t>RCV adjustment at end of period - real - WR</t>
  </si>
  <si>
    <t>Revenue adjustment for RCV run-off - real - WR</t>
  </si>
  <si>
    <t>Revenue adjustment for return - real -WR</t>
  </si>
  <si>
    <t>Revenue adjustment for return - real - WN</t>
  </si>
  <si>
    <t>Revenue adjustment for RCV run-off - real - WN</t>
  </si>
  <si>
    <t>RCV adjustment at end of period - real -WN</t>
  </si>
  <si>
    <t>Revenue adjustment for return - real - WWN</t>
  </si>
  <si>
    <t>Revenue adjustment for RCV run-off - real - WWN</t>
  </si>
  <si>
    <t>RCV adjustment at end of period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</si>
  <si>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</si>
  <si>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</si>
  <si>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</si>
  <si>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</si>
  <si>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</si>
  <si>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</si>
  <si>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Data sourced from:</t>
  </si>
  <si>
    <t>Calculation of true up - Water Resources</t>
  </si>
  <si>
    <t>Calculation of true up - Water Network</t>
  </si>
  <si>
    <t>Calculation of true up - Wastewater Network</t>
  </si>
  <si>
    <t>Calculation of true up - Bio Resources</t>
  </si>
  <si>
    <t>Calculation of true up - Dummy Control</t>
  </si>
  <si>
    <t>FORECAST POSITION AT PR19 FINAL DETERMINATION</t>
  </si>
  <si>
    <t>WHAT THE COMPANY SHOULD HAVE EXPERIENCED</t>
  </si>
  <si>
    <t>DIFFERENCE</t>
  </si>
  <si>
    <t>TRUE UP</t>
  </si>
  <si>
    <t>K calculations removed. Linked 'Actual nominal revenue' to 'Total Forecast revenue to company' on row 53.</t>
  </si>
  <si>
    <t>Calc</t>
  </si>
  <si>
    <t>COMPANY-SPECIFIC INPUTS</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</si>
  <si>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</si>
  <si>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</si>
  <si>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PR19 Financial model, 'Index' sheet row 131</t>
  </si>
  <si>
    <t>PR19 Financial model, 'Index' sheet row 132</t>
  </si>
  <si>
    <t>PR19 Financial model, 'Index' sheet row 133</t>
  </si>
  <si>
    <t>PR19 Financial model, 'Index' sheet row 134</t>
  </si>
  <si>
    <t>PR19 Financial model, 'Index' sheet row 135</t>
  </si>
  <si>
    <t>PR19 Financial model, 'Index' sheet row 136</t>
  </si>
  <si>
    <t>PR19 Financial model, 'Index' sheet row 137</t>
  </si>
  <si>
    <t>PR19 Financial model, 'Index' sheet row 138</t>
  </si>
  <si>
    <t>PR19 Financial model, 'Index' sheet row 139</t>
  </si>
  <si>
    <t>PR19 Financial model, 'Index' sheet row 140</t>
  </si>
  <si>
    <t>PR19 Financial model, 'Index' sheet row 141</t>
  </si>
  <si>
    <t>PR19 Financial model, 'Index' sheet row 142</t>
  </si>
  <si>
    <t>PR19 Financial model, 'Index' sheet F59 and 'Index' sheet row 10</t>
  </si>
  <si>
    <t>PR19 Financial model, 'Index' sheet F60 and 'Index' sheet row 11</t>
  </si>
  <si>
    <t>PR19 Financial model, 'Index' sheet F61 and 'Index' sheet row 12</t>
  </si>
  <si>
    <t>PR19 Financial model, 'Index' sheet F62 and 'Index' sheet row 13</t>
  </si>
  <si>
    <t>PR19 Financial model, 'Index' sheet F63 and 'Index' sheet row 14</t>
  </si>
  <si>
    <t>PR19 Financial model, 'Index' sheet F64 and 'Index' sheet row 15</t>
  </si>
  <si>
    <t>PR19 Financial model, 'Index' sheet F65 and 'Index' sheet row 16</t>
  </si>
  <si>
    <t>PR19 Financial model, 'Index' sheet F66 and 'Index' sheet row 17</t>
  </si>
  <si>
    <t>PR19 Financial model, 'Index' sheet F67 and 'Index' sheet row 18</t>
  </si>
  <si>
    <t>PR19 Financial model, 'Index' sheet F68 and 'Index' sheet row 19</t>
  </si>
  <si>
    <t>PR19 Financial model, 'Index' sheet F69 and 'Index' sheet row 20</t>
  </si>
  <si>
    <t>PR19 Financial model, 'Index' sheet F70 and 'Index' sheet row 21</t>
  </si>
  <si>
    <t>PR19 Financial model, 'RCV balance summary' sheet cell K23</t>
  </si>
  <si>
    <t>PR19 Financial model, 'RCV balance summary' sheet cell K93</t>
  </si>
  <si>
    <t>PR19 Financial model, 'RCV balance summary' sheet cell K163</t>
  </si>
  <si>
    <t>PR19 Financial model, 'RCV balance summary' sheet cell K233</t>
  </si>
  <si>
    <t>PR19 Financial model, 'RCV balance summary' sheet cell K303</t>
  </si>
  <si>
    <t>PR19 Financial model, 'F_OutputsMaster' sheet row 953, PR19FM2090POST</t>
  </si>
  <si>
    <t>PR19 Financial model, 'F_OutputsMaster' sheet row 956, PR19FM2093POST</t>
  </si>
  <si>
    <t>PR19 Financial model, 'F_OutputsMaster' sheet row 959, PR19FM2096POST</t>
  </si>
  <si>
    <t>PR19 Financial model, 'F_OutputsMaster' sheet row 962, PR19FM2099POST</t>
  </si>
  <si>
    <t>PR19 Financial model, 'F_OutputsMaster' sheet row 966, PR19FM2103POST</t>
  </si>
  <si>
    <t>PR19 Financial model, 'Water Resources' sheet row 980</t>
  </si>
  <si>
    <t>PR19 Financial model, 'Water Network' sheet row 980</t>
  </si>
  <si>
    <t>PR19 Financial model, 'Wastewater Network' sheet row 980</t>
  </si>
  <si>
    <t>PR19 Financial model, 'Bio Resources' sheet row 980</t>
  </si>
  <si>
    <t>PR19 Financial model, 'Dummy Control' sheet row 980</t>
  </si>
  <si>
    <t>PR19 Financial model, 'Water Resources' sheet row 860</t>
  </si>
  <si>
    <t>PR19 Financial model, 'Water Network' sheet row 860</t>
  </si>
  <si>
    <t>PR19 Financial model, 'Wastewater Network' sheet row 860</t>
  </si>
  <si>
    <t>PR19 Financial model, 'Bio Resources' sheet row 860</t>
  </si>
  <si>
    <t>PR19 Financial model, 'Dummy Control' sheet row 860</t>
  </si>
  <si>
    <t>ONS, CPIH INDEX 00: ALL ITEMS 2015=100</t>
  </si>
  <si>
    <t>ONS, RPI All Items Index: Jan 1987=100</t>
  </si>
  <si>
    <t>Opening RPI-indexed RCV as at 1 April 2020 expressed in forecast nominal terms in the final determination</t>
  </si>
  <si>
    <t>Real RPI based WACC for wholesale included in final determination</t>
  </si>
  <si>
    <t>RCV run-off rate included in final determination</t>
  </si>
  <si>
    <t>Real CPIH based WACC for wholesale included in final determination</t>
  </si>
  <si>
    <t>OfwatPandO@ofwat.gov.uk</t>
  </si>
  <si>
    <t>RPI-CPIH-wedge-true-up-model-Dec-2020-v5.xlsx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</si>
</sst>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294">
    <xf numFmtId="0" fontId="0" fillId="0" borderId="0" xfId="0"/>
    <xf numFmtId="0" fontId="0" fillId="44" borderId="0" xfId="0" applyFill="1"/>
    <xf numFmtId="0" fontId="25" fillId="0" borderId="0" xfId="0" applyFont="1" applyAlignment="1">
      <alignment vertical="top"/>
    </xf>
    <xf numFmtId="0" fontId="18" fillId="45" borderId="0" xfId="0" applyFont="1" applyFill="1" applyAlignment="1">
      <alignment vertical="top"/>
    </xf>
    <xf numFmtId="0" fontId="24" fillId="0" borderId="0" xfId="55" applyNumberFormat="1">
      <alignment vertical="top"/>
    </xf>
    <xf numFmtId="0" fontId="22" fillId="0" borderId="0" xfId="0" applyFont="1" applyAlignment="1">
      <alignment vertical="top"/>
    </xf>
    <xf numFmtId="0" fontId="18" fillId="0" borderId="0" xfId="0" applyFont="1" applyAlignment="1">
      <alignment horizontal="right" vertical="top"/>
    </xf>
    <xf numFmtId="0" fontId="18" fillId="0" borderId="0" xfId="0" applyFont="1" applyAlignment="1">
      <alignment vertical="top"/>
    </xf>
    <xf numFmtId="0" fontId="18" fillId="43" borderId="0" xfId="0" applyFont="1" applyFill="1" applyAlignment="1">
      <alignment vertical="top"/>
    </xf>
    <xf numFmtId="0" fontId="23" fillId="0" borderId="0" xfId="0" applyFont="1" applyAlignment="1">
      <alignment vertical="top"/>
    </xf>
    <xf numFmtId="0" fontId="16" fillId="44" borderId="0" xfId="0" applyFont="1" applyFill="1"/>
    <xf numFmtId="0" fontId="1"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lignment vertical="top"/>
    </xf>
    <xf numFmtId="168" fontId="18" fillId="0" borderId="0" xfId="61" applyFont="1">
      <alignment vertical="top"/>
    </xf>
    <xf numFmtId="167" fontId="18" fillId="0" borderId="0" xfId="60" applyFont="1" applyFill="1">
      <alignment vertical="top"/>
    </xf>
    <xf numFmtId="170" fontId="18" fillId="50" borderId="0" xfId="0" applyNumberFormat="1" applyFont="1" applyFill="1" applyAlignment="1">
      <alignment vertical="top"/>
    </xf>
    <xf numFmtId="170" fontId="0" fillId="0" borderId="0" xfId="0" applyNumberFormat="1" applyAlignment="1">
      <alignment vertical="top"/>
    </xf>
    <xf numFmtId="170" fontId="18" fillId="0" borderId="0" xfId="0" applyNumberFormat="1" applyFont="1" applyAlignment="1">
      <alignment vertical="top"/>
    </xf>
    <xf numFmtId="170" fontId="18" fillId="0" borderId="0" xfId="0" applyNumberFormat="1" applyFont="1" applyAlignment="1">
      <alignment horizontal="right" vertical="top"/>
    </xf>
    <xf numFmtId="170" fontId="23" fillId="0" borderId="0" xfId="0" applyNumberFormat="1" applyFont="1" applyAlignment="1">
      <alignment vertical="top"/>
    </xf>
    <xf numFmtId="170" fontId="22" fillId="0" borderId="0" xfId="0" applyNumberFormat="1" applyFont="1" applyAlignment="1">
      <alignment vertical="top"/>
    </xf>
    <xf numFmtId="167" fontId="18" fillId="0" borderId="0" xfId="60" applyFont="1">
      <alignment vertical="top"/>
    </xf>
    <xf numFmtId="168" fontId="18" fillId="0" borderId="0" xfId="61" applyFont="1" applyBorder="1">
      <alignment vertical="top"/>
    </xf>
    <xf numFmtId="0" fontId="27" fillId="0" borderId="0" xfId="0" applyFont="1" applyAlignment="1">
      <alignment vertical="top"/>
    </xf>
    <xf numFmtId="168" fontId="22" fillId="0" borderId="0" xfId="61" applyFont="1" applyBorder="1">
      <alignment vertical="top"/>
    </xf>
    <xf numFmtId="164" fontId="18" fillId="49" borderId="0" xfId="0" applyNumberFormat="1" applyFont="1" applyFill="1" applyAlignment="1">
      <alignment vertical="top"/>
    </xf>
    <xf numFmtId="0" fontId="28" fillId="0" borderId="0" xfId="0" applyFont="1" applyAlignment="1">
      <alignment vertical="top"/>
    </xf>
    <xf numFmtId="168" fontId="18" fillId="0" borderId="0" xfId="61" applyFont="1" applyFill="1">
      <alignment vertical="top"/>
    </xf>
    <xf numFmtId="167" fontId="24" fillId="0" borderId="0" xfId="60" applyFont="1" applyFill="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167" fontId="24" fillId="0" borderId="0" xfId="60" applyFont="1">
      <alignment vertical="top"/>
    </xf>
    <xf numFmtId="0" fontId="24" fillId="0" borderId="0" xfId="0" applyFont="1" applyAlignment="1">
      <alignment vertical="top"/>
    </xf>
    <xf numFmtId="171" fontId="18" fillId="0" borderId="0" xfId="0" applyNumberFormat="1" applyFont="1" applyAlignment="1">
      <alignment vertical="top"/>
    </xf>
    <xf numFmtId="168" fontId="14" fillId="0" borderId="0" xfId="61" applyFont="1" applyFill="1">
      <alignment vertical="top"/>
    </xf>
    <xf numFmtId="168" fontId="14" fillId="48" borderId="0" xfId="61" applyFont="1" applyFill="1">
      <alignment vertical="top"/>
    </xf>
    <xf numFmtId="172" fontId="18" fillId="0" borderId="0" xfId="0" applyNumberFormat="1" applyFont="1" applyAlignment="1">
      <alignment vertical="top"/>
    </xf>
    <xf numFmtId="173" fontId="18" fillId="0" borderId="0" xfId="62" applyNumberFormat="1" applyFont="1">
      <alignment vertical="top"/>
    </xf>
    <xf numFmtId="173" fontId="18" fillId="44" borderId="0" xfId="62" applyNumberFormat="1" applyFont="1" applyFill="1">
      <alignment vertical="top"/>
    </xf>
    <xf numFmtId="0" fontId="18" fillId="42" borderId="0" xfId="0" applyFont="1" applyFill="1" applyAlignment="1">
      <alignment vertical="top"/>
    </xf>
    <xf numFmtId="43" fontId="18" fillId="0" borderId="0" xfId="1" applyFont="1" applyBorder="1" applyAlignment="1">
      <alignment vertical="top"/>
    </xf>
    <xf numFmtId="168" fontId="18" fillId="0" borderId="0" xfId="61" applyFont="1" applyFill="1" applyBorder="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0" fontId="23" fillId="0" borderId="0" xfId="67">
      <alignment vertical="top"/>
    </xf>
    <xf numFmtId="0" fontId="1" fillId="0" borderId="0" xfId="0" applyFont="1" applyAlignment="1">
      <alignment vertical="top"/>
    </xf>
    <xf numFmtId="173" fontId="22" fillId="0" borderId="0" xfId="66" applyNumberFormat="1" applyFill="1">
      <alignment vertical="top"/>
    </xf>
    <xf numFmtId="173" fontId="23" fillId="0" borderId="0" xfId="67" applyNumberFormat="1">
      <alignment vertical="top"/>
    </xf>
    <xf numFmtId="173" fontId="18" fillId="0" borderId="0" xfId="68" applyNumberFormat="1">
      <alignment horizontal="right" vertical="top"/>
    </xf>
    <xf numFmtId="172" fontId="22" fillId="0" borderId="0" xfId="66" applyNumberFormat="1" applyFill="1">
      <alignment vertical="top"/>
    </xf>
    <xf numFmtId="172" fontId="23" fillId="0" borderId="0" xfId="67" applyNumberFormat="1" applyFill="1">
      <alignment vertical="top"/>
    </xf>
    <xf numFmtId="172" fontId="18" fillId="0" borderId="0" xfId="68" applyNumberFormat="1" applyFill="1">
      <alignment horizontal="right" vertical="top"/>
    </xf>
    <xf numFmtId="167" fontId="22" fillId="0" borderId="0" xfId="66" applyNumberFormat="1" applyFill="1">
      <alignment vertical="top"/>
    </xf>
    <xf numFmtId="167" fontId="23" fillId="0" borderId="0" xfId="67" applyNumberFormat="1">
      <alignment vertical="top"/>
    </xf>
    <xf numFmtId="167" fontId="18" fillId="0" borderId="0" xfId="68" applyNumberFormat="1">
      <alignment horizontal="right" vertical="top"/>
    </xf>
    <xf numFmtId="168" fontId="22" fillId="0" borderId="0" xfId="66" applyFill="1">
      <alignment vertical="top"/>
    </xf>
    <xf numFmtId="168" fontId="23" fillId="0" borderId="0" xfId="67" applyNumberFormat="1">
      <alignment vertical="top"/>
    </xf>
    <xf numFmtId="168" fontId="18" fillId="0" borderId="0" xfId="68" applyNumberFormat="1">
      <alignment horizontal="right" vertical="top"/>
    </xf>
    <xf numFmtId="168" fontId="23" fillId="0" borderId="0" xfId="67" applyNumberFormat="1" applyFill="1">
      <alignment vertical="top"/>
    </xf>
    <xf numFmtId="168" fontId="18" fillId="0" borderId="0" xfId="68" applyNumberFormat="1" applyFill="1">
      <alignment horizontal="right" vertical="top"/>
    </xf>
    <xf numFmtId="171" fontId="22" fillId="0" borderId="0" xfId="66" applyNumberFormat="1" applyFill="1">
      <alignment vertical="top"/>
    </xf>
    <xf numFmtId="171" fontId="23" fillId="0" borderId="0" xfId="67" applyNumberFormat="1" applyFill="1">
      <alignment vertical="top"/>
    </xf>
    <xf numFmtId="171" fontId="18" fillId="0" borderId="0" xfId="68" applyNumberFormat="1" applyFill="1">
      <alignment horizontal="right" vertical="top"/>
    </xf>
    <xf numFmtId="167" fontId="23" fillId="0" borderId="0" xfId="67" applyNumberFormat="1" applyFill="1">
      <alignment vertical="top"/>
    </xf>
    <xf numFmtId="167" fontId="18" fillId="0" borderId="0" xfId="68" applyNumberFormat="1" applyFill="1">
      <alignment horizontal="right" vertical="top"/>
    </xf>
    <xf numFmtId="168" fontId="1" fillId="0" borderId="0" xfId="61" applyFont="1">
      <alignment vertical="top"/>
    </xf>
    <xf numFmtId="167" fontId="22" fillId="0" borderId="0" xfId="66" applyNumberFormat="1">
      <alignment vertical="top"/>
    </xf>
    <xf numFmtId="168" fontId="1" fillId="0" borderId="0" xfId="61" applyFont="1" applyFill="1">
      <alignment vertical="top"/>
    </xf>
    <xf numFmtId="168" fontId="1" fillId="48" borderId="0" xfId="61" applyFont="1" applyFill="1">
      <alignment vertical="top"/>
    </xf>
    <xf numFmtId="168" fontId="22" fillId="0" borderId="0" xfId="66">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lignment vertical="top"/>
    </xf>
    <xf numFmtId="43" fontId="24" fillId="0" borderId="0" xfId="0" applyNumberFormat="1" applyFont="1" applyAlignment="1">
      <alignment vertical="top"/>
    </xf>
    <xf numFmtId="0" fontId="29"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43" fontId="35" fillId="33" borderId="0" xfId="1" applyFont="1" applyFill="1"/>
    <xf numFmtId="0" fontId="33" fillId="33" borderId="0" xfId="0" applyFont="1" applyFill="1"/>
    <xf numFmtId="164" fontId="22" fillId="0" borderId="0" xfId="66" applyNumberForma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Border="1" applyAlignment="1">
      <alignment vertical="top"/>
    </xf>
    <xf numFmtId="0" fontId="22" fillId="53" borderId="0" xfId="0" applyFont="1" applyFill="1" applyAlignment="1">
      <alignment vertical="top"/>
    </xf>
    <xf numFmtId="0" fontId="18" fillId="53" borderId="0" xfId="0" applyFont="1" applyFill="1" applyAlignment="1">
      <alignment vertical="top"/>
    </xf>
    <xf numFmtId="0" fontId="22" fillId="53" borderId="0" xfId="0" applyFont="1" applyFill="1" applyAlignment="1">
      <alignment horizontal="left" vertical="top"/>
    </xf>
    <xf numFmtId="0" fontId="18" fillId="54" borderId="0" xfId="0" applyFont="1" applyFill="1" applyAlignment="1">
      <alignment horizontal="left" vertical="top"/>
    </xf>
    <xf numFmtId="0" fontId="18" fillId="0" borderId="0" xfId="0" applyFont="1" applyAlignment="1">
      <alignment horizontal="left" vertical="top"/>
    </xf>
    <xf numFmtId="0" fontId="18" fillId="55" borderId="0" xfId="0" applyFont="1" applyFill="1" applyAlignment="1">
      <alignment horizontal="left" vertical="top"/>
    </xf>
    <xf numFmtId="0" fontId="18" fillId="56" borderId="0" xfId="0" applyFont="1" applyFill="1" applyAlignment="1">
      <alignment horizontal="left" vertical="top"/>
    </xf>
    <xf numFmtId="0" fontId="18" fillId="45" borderId="0" xfId="0" applyFont="1" applyFill="1" applyAlignment="1">
      <alignment horizontal="left" vertical="top"/>
    </xf>
    <xf numFmtId="0" fontId="18" fillId="43" borderId="0" xfId="0" applyFont="1" applyFill="1" applyAlignment="1">
      <alignment horizontal="left" vertical="top"/>
    </xf>
    <xf numFmtId="0" fontId="18" fillId="54" borderId="0" xfId="0" applyFont="1" applyFill="1" applyAlignment="1">
      <alignment vertical="top"/>
    </xf>
    <xf numFmtId="0" fontId="18" fillId="55" borderId="0" xfId="0" applyFont="1" applyFill="1" applyAlignment="1">
      <alignment vertical="top"/>
    </xf>
    <xf numFmtId="0" fontId="24" fillId="55" borderId="0" xfId="0" applyFont="1" applyFill="1" applyAlignment="1">
      <alignment vertical="top"/>
    </xf>
    <xf numFmtId="0" fontId="18" fillId="56" borderId="0" xfId="0" applyFont="1" applyFill="1" applyAlignment="1">
      <alignment vertical="top"/>
    </xf>
    <xf numFmtId="0" fontId="18" fillId="57" borderId="0" xfId="0" applyFont="1" applyFill="1" applyAlignment="1">
      <alignment vertical="top"/>
    </xf>
    <xf numFmtId="0" fontId="18" fillId="58" borderId="0" xfId="0" applyFont="1" applyFill="1" applyAlignment="1">
      <alignment vertical="top"/>
    </xf>
    <xf numFmtId="0" fontId="18" fillId="59" borderId="0" xfId="0" applyFont="1" applyFill="1" applyAlignment="1">
      <alignment vertical="top"/>
    </xf>
    <xf numFmtId="0" fontId="18" fillId="60" borderId="0" xfId="0" applyFont="1" applyFill="1" applyAlignment="1">
      <alignment vertical="top"/>
    </xf>
    <xf numFmtId="0" fontId="18" fillId="47" borderId="0" xfId="0" applyFont="1" applyFill="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Font="1" applyFill="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22" fillId="0" borderId="0" xfId="1" applyFont="1" applyAlignment="1">
      <alignment vertical="top"/>
    </xf>
    <xf numFmtId="43" fontId="18" fillId="0" borderId="0" xfId="1" applyFont="1" applyAlignment="1">
      <alignment horizontal="righ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10" fontId="28" fillId="0" borderId="0" xfId="0" applyNumberFormat="1" applyFont="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Border="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Alignment="1">
      <alignment horizontal="left" vertical="top"/>
    </xf>
    <xf numFmtId="0" fontId="16" fillId="0" borderId="0" xfId="0" applyFont="1"/>
    <xf numFmtId="2" fontId="18" fillId="50" borderId="0" xfId="0" applyNumberFormat="1" applyFont="1" applyFill="1" applyAlignment="1">
      <alignment vertical="top"/>
    </xf>
    <xf numFmtId="0" fontId="18" fillId="62" borderId="0" xfId="0" applyFont="1" applyFill="1" applyAlignment="1">
      <alignment vertical="top"/>
    </xf>
    <xf numFmtId="180" fontId="18" fillId="0" borderId="0" xfId="0" applyNumberFormat="1" applyFont="1" applyAlignment="1">
      <alignment vertical="top"/>
    </xf>
    <xf numFmtId="43" fontId="28" fillId="0" borderId="0" xfId="0" applyNumberFormat="1" applyFont="1" applyAlignment="1">
      <alignment vertical="top"/>
    </xf>
    <xf numFmtId="181" fontId="18" fillId="0" borderId="0" xfId="0" applyNumberFormat="1" applyFont="1" applyAlignment="1">
      <alignment vertical="top"/>
    </xf>
    <xf numFmtId="0" fontId="18" fillId="0" borderId="0" xfId="66" applyNumberFormat="1" applyFo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Alignment="1">
      <alignment vertical="top"/>
    </xf>
    <xf numFmtId="181" fontId="14" fillId="0" borderId="0" xfId="0" applyNumberFormat="1" applyFont="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39" fillId="0" borderId="12" xfId="67" applyFont="1" applyFill="1" applyBorder="1">
      <alignment vertical="top"/>
    </xf>
    <xf numFmtId="0" fontId="39" fillId="0" borderId="0" xfId="67" applyFont="1" applyFill="1" applyBorder="1">
      <alignmen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185" fontId="24" fillId="0" borderId="0" xfId="0" applyNumberFormat="1" applyFont="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18" fillId="50" borderId="0" xfId="0" applyNumberFormat="1" applyFont="1" applyFill="1" applyAlignment="1">
      <alignment vertical="top"/>
    </xf>
    <xf numFmtId="15" fontId="41" fillId="63" borderId="0" xfId="0" applyNumberFormat="1" applyFont="1" applyFill="1" applyAlignment="1">
      <alignment horizontal="left"/>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tabSelected="1" zoomScaleNormal="100" workbookViewId="0">
      <pane ySplit="9" topLeftCell="A10" activePane="bottomLeft" state="frozen"/>
      <selection pane="bottomLeft"/>
    </sheetView>
  </sheetViews>
  <sheetFormatPr defaultColWidth="9.109375" defaultRowHeight="13.2" x14ac:dyDescent="0.25"/>
  <cols>
    <col min="1" max="1" width="30.44140625" bestFit="1" customWidth="1"/>
    <col min="2" max="2" width="108" customWidth="1"/>
    <col min="3" max="3" width="20.44140625" customWidth="1"/>
  </cols>
  <sheetData>
    <row r="1" spans="1:6" ht="30.6" thickBot="1" x14ac:dyDescent="0.55000000000000004">
      <c r="A1" s="256" t="str">
        <f ca="1" xml:space="preserve"> RIGHT(CELL("filename", $A$1), LEN(CELL("filename", $A$1)) - SEARCH("]", CELL("filename", $A$1)))</f>
        <v>Cover</v>
      </c>
      <c r="B1" s="256"/>
      <c r="C1" s="256"/>
      <c r="D1" s="256"/>
      <c r="E1" s="256"/>
      <c r="F1" s="256"/>
    </row>
    <row r="2" spans="1:6" ht="3.9" customHeight="1" x14ac:dyDescent="0.35">
      <c r="A2" s="257"/>
      <c r="B2" s="257"/>
      <c r="C2" s="257"/>
      <c r="D2" s="257"/>
      <c r="E2" s="257"/>
      <c r="F2" s="257"/>
    </row>
    <row r="3" spans="1:6" ht="16.2" x14ac:dyDescent="0.35">
      <c r="A3" s="258" t="s">
        <v>284</v>
      </c>
      <c r="B3" s="258" t="s">
        <v>297</v>
      </c>
      <c r="C3" s="259"/>
      <c r="D3" s="259"/>
      <c r="E3" s="259"/>
      <c r="F3" s="259"/>
    </row>
    <row r="4" spans="1:6" ht="16.2" x14ac:dyDescent="0.35">
      <c r="A4" s="258" t="s">
        <v>285</v>
      </c>
      <c r="B4" s="289">
        <v>5</v>
      </c>
      <c r="C4" s="259"/>
      <c r="D4" s="259"/>
      <c r="E4" s="259"/>
      <c r="F4" s="259"/>
    </row>
    <row r="5" spans="1:6" ht="16.2" x14ac:dyDescent="0.35">
      <c r="A5" s="258" t="s">
        <v>0</v>
      </c>
      <c r="B5" s="289" t="s">
        <v>434</v>
      </c>
      <c r="C5" s="259"/>
      <c r="D5" s="259"/>
      <c r="E5" s="259"/>
      <c r="F5" s="259"/>
    </row>
    <row r="6" spans="1:6" ht="16.2" x14ac:dyDescent="0.35">
      <c r="A6" s="258" t="s">
        <v>1</v>
      </c>
      <c r="B6" s="293">
        <v>44167</v>
      </c>
      <c r="C6" s="259"/>
      <c r="D6" s="259"/>
      <c r="E6" s="259"/>
      <c r="F6" s="259"/>
    </row>
    <row r="7" spans="1:6" ht="16.2" x14ac:dyDescent="0.35">
      <c r="A7" s="258" t="s">
        <v>281</v>
      </c>
      <c r="B7" s="258" t="s">
        <v>286</v>
      </c>
      <c r="C7" s="259"/>
      <c r="D7" s="259"/>
      <c r="E7" s="259"/>
      <c r="F7" s="259"/>
    </row>
    <row r="8" spans="1:6" ht="16.2" x14ac:dyDescent="0.35">
      <c r="A8" s="258" t="s">
        <v>282</v>
      </c>
      <c r="B8" s="258" t="s">
        <v>433</v>
      </c>
      <c r="C8" s="259"/>
      <c r="D8" s="259"/>
      <c r="E8" s="259"/>
      <c r="F8" s="259"/>
    </row>
    <row r="9" spans="1:6" ht="3.9" customHeight="1" x14ac:dyDescent="0.35">
      <c r="A9" s="258"/>
      <c r="B9" s="258"/>
      <c r="C9" s="258"/>
      <c r="D9" s="258"/>
      <c r="E9" s="258"/>
      <c r="F9" s="258"/>
    </row>
    <row r="11" spans="1:6" ht="15" x14ac:dyDescent="0.25">
      <c r="A11" s="260" t="s">
        <v>287</v>
      </c>
      <c r="B11" s="261" t="s">
        <v>312</v>
      </c>
    </row>
    <row r="12" spans="1:6" ht="15" x14ac:dyDescent="0.25">
      <c r="A12" s="260"/>
      <c r="B12" s="261" t="s">
        <v>313</v>
      </c>
    </row>
    <row r="13" spans="1:6" ht="15" x14ac:dyDescent="0.25">
      <c r="A13" s="260"/>
      <c r="B13" s="261" t="s">
        <v>314</v>
      </c>
    </row>
    <row r="14" spans="1:6" x14ac:dyDescent="0.25">
      <c r="A14" s="261"/>
      <c r="B14" s="261"/>
    </row>
    <row r="15" spans="1:6" ht="15" x14ac:dyDescent="0.25">
      <c r="A15" s="260" t="s">
        <v>288</v>
      </c>
      <c r="B15" s="261"/>
    </row>
    <row r="16" spans="1:6" x14ac:dyDescent="0.25">
      <c r="A16" s="261"/>
      <c r="B16" s="261"/>
    </row>
    <row r="17" spans="1:2" ht="15" x14ac:dyDescent="0.25">
      <c r="A17" s="260" t="s">
        <v>289</v>
      </c>
      <c r="B17" s="261"/>
    </row>
    <row r="18" spans="1:2" x14ac:dyDescent="0.25">
      <c r="A18" s="261"/>
      <c r="B18" s="261"/>
    </row>
    <row r="19" spans="1:2" ht="15" x14ac:dyDescent="0.25">
      <c r="A19" s="260" t="s">
        <v>290</v>
      </c>
      <c r="B19" s="261"/>
    </row>
    <row r="20" spans="1:2" x14ac:dyDescent="0.25">
      <c r="A20" s="227" t="s">
        <v>323</v>
      </c>
      <c r="B20" s="261"/>
    </row>
    <row r="21" spans="1:2" x14ac:dyDescent="0.25">
      <c r="A21" s="290" t="s">
        <v>379</v>
      </c>
      <c r="B21" s="290" t="s">
        <v>378</v>
      </c>
    </row>
    <row r="22" spans="1:2" ht="39.6" x14ac:dyDescent="0.25">
      <c r="A22" s="290" t="s">
        <v>381</v>
      </c>
      <c r="B22" s="291" t="s">
        <v>382</v>
      </c>
    </row>
    <row r="23" spans="1:2" x14ac:dyDescent="0.25">
      <c r="B23" s="261"/>
    </row>
    <row r="24" spans="1:2" x14ac:dyDescent="0.25">
      <c r="A24" s="227" t="s">
        <v>180</v>
      </c>
      <c r="B24" s="261"/>
    </row>
    <row r="25" spans="1:2" x14ac:dyDescent="0.25">
      <c r="A25" t="s">
        <v>302</v>
      </c>
      <c r="B25" s="261" t="s">
        <v>298</v>
      </c>
    </row>
    <row r="26" spans="1:2" x14ac:dyDescent="0.25">
      <c r="A26" t="s">
        <v>303</v>
      </c>
      <c r="B26" s="261" t="s">
        <v>299</v>
      </c>
    </row>
    <row r="27" spans="1:2" x14ac:dyDescent="0.25">
      <c r="A27" t="s">
        <v>304</v>
      </c>
      <c r="B27" s="261" t="s">
        <v>300</v>
      </c>
    </row>
    <row r="28" spans="1:2" x14ac:dyDescent="0.25">
      <c r="A28" t="s">
        <v>305</v>
      </c>
      <c r="B28" s="261" t="s">
        <v>301</v>
      </c>
    </row>
    <row r="29" spans="1:2" x14ac:dyDescent="0.25">
      <c r="A29" t="s">
        <v>306</v>
      </c>
      <c r="B29" s="261" t="s">
        <v>280</v>
      </c>
    </row>
    <row r="30" spans="1:2" x14ac:dyDescent="0.25">
      <c r="B30" s="261"/>
    </row>
    <row r="31" spans="1:2" x14ac:dyDescent="0.25">
      <c r="A31" s="227" t="s">
        <v>178</v>
      </c>
      <c r="B31" s="261"/>
    </row>
    <row r="32" spans="1:2" x14ac:dyDescent="0.25">
      <c r="A32" t="s">
        <v>307</v>
      </c>
      <c r="B32" s="261" t="s">
        <v>177</v>
      </c>
    </row>
    <row r="33" spans="1:3" x14ac:dyDescent="0.25">
      <c r="A33" t="s">
        <v>308</v>
      </c>
      <c r="B33" s="261" t="s">
        <v>179</v>
      </c>
    </row>
    <row r="34" spans="1:3" x14ac:dyDescent="0.25">
      <c r="A34" t="s">
        <v>309</v>
      </c>
      <c r="B34" s="261" t="s">
        <v>174</v>
      </c>
    </row>
    <row r="35" spans="1:3" x14ac:dyDescent="0.25">
      <c r="A35" t="s">
        <v>310</v>
      </c>
      <c r="B35" s="261" t="s">
        <v>175</v>
      </c>
    </row>
    <row r="36" spans="1:3" x14ac:dyDescent="0.25">
      <c r="A36" t="s">
        <v>311</v>
      </c>
      <c r="B36" s="261" t="s">
        <v>176</v>
      </c>
    </row>
    <row r="37" spans="1:3" x14ac:dyDescent="0.25">
      <c r="B37" s="261"/>
    </row>
    <row r="38" spans="1:3" x14ac:dyDescent="0.25">
      <c r="A38" s="261"/>
      <c r="B38" s="261"/>
    </row>
    <row r="39" spans="1:3" ht="15" x14ac:dyDescent="0.25">
      <c r="A39" s="260" t="s">
        <v>291</v>
      </c>
      <c r="B39" s="261"/>
    </row>
    <row r="40" spans="1:3" ht="15" x14ac:dyDescent="0.25">
      <c r="A40" s="260"/>
      <c r="B40" s="261" t="s">
        <v>315</v>
      </c>
    </row>
    <row r="41" spans="1:3" ht="15" x14ac:dyDescent="0.25">
      <c r="A41" s="260"/>
      <c r="B41" s="261" t="s">
        <v>316</v>
      </c>
    </row>
    <row r="42" spans="1:3" ht="15" x14ac:dyDescent="0.25">
      <c r="A42" s="260"/>
      <c r="B42" s="261" t="s">
        <v>429</v>
      </c>
    </row>
    <row r="43" spans="1:3" ht="15" x14ac:dyDescent="0.25">
      <c r="A43" s="260"/>
      <c r="B43" s="261" t="s">
        <v>431</v>
      </c>
    </row>
    <row r="44" spans="1:3" ht="15" x14ac:dyDescent="0.25">
      <c r="A44" s="260"/>
      <c r="B44" s="261" t="s">
        <v>430</v>
      </c>
    </row>
    <row r="45" spans="1:3" ht="15" x14ac:dyDescent="0.25">
      <c r="A45" s="260"/>
      <c r="B45" s="261" t="s">
        <v>432</v>
      </c>
    </row>
    <row r="46" spans="1:3" ht="15" x14ac:dyDescent="0.25">
      <c r="A46" s="260"/>
      <c r="B46" s="261"/>
    </row>
    <row r="47" spans="1:3" ht="13.8" thickBot="1" x14ac:dyDescent="0.3">
      <c r="A47" s="261"/>
      <c r="B47" s="261"/>
    </row>
    <row r="48" spans="1:3" ht="15.6" thickBot="1" x14ac:dyDescent="0.3">
      <c r="A48" s="260" t="s">
        <v>292</v>
      </c>
      <c r="B48" s="261"/>
      <c r="C48" s="262" t="s">
        <v>293</v>
      </c>
    </row>
    <row r="49" spans="1:6" ht="15" x14ac:dyDescent="0.25">
      <c r="A49" s="260"/>
      <c r="B49" t="s">
        <v>2</v>
      </c>
      <c r="C49" s="29">
        <f xml:space="preserve"> Checks!$F$9</f>
        <v>0</v>
      </c>
    </row>
    <row r="51" spans="1:6" ht="13.8" x14ac:dyDescent="0.3">
      <c r="A51" s="263" t="s">
        <v>294</v>
      </c>
      <c r="B51" s="263"/>
      <c r="C51" s="263"/>
      <c r="D51" s="263"/>
      <c r="E51" s="263"/>
      <c r="F51" s="263"/>
    </row>
  </sheetData>
  <conditionalFormatting sqref="C49">
    <cfRule type="cellIs" dxfId="77" priority="5" stopIfTrue="1" operator="notEqual">
      <formula>0</formula>
    </cfRule>
    <cfRule type="cellIs" dxfId="76"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114.56413067011066</v>
      </c>
      <c r="N22" s="241">
        <f t="shared" si="3"/>
        <v>109.61264011668467</v>
      </c>
      <c r="O22" s="241">
        <f t="shared" si="3"/>
        <v>105.42085470908695</v>
      </c>
      <c r="P22" s="241">
        <f t="shared" si="3"/>
        <v>101.57805360803277</v>
      </c>
      <c r="Q22" s="241">
        <f t="shared" si="3"/>
        <v>97.922423840269587</v>
      </c>
      <c r="R22" s="241">
        <f t="shared" si="3"/>
        <v>94.398354272020711</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2.7791071659787629</v>
      </c>
      <c r="N24" s="184">
        <f t="shared" si="5"/>
        <v>3.2431802872730526</v>
      </c>
      <c r="O24" s="184">
        <f t="shared" si="5"/>
        <v>3.3211452168878863</v>
      </c>
      <c r="P24" s="184">
        <f t="shared" si="5"/>
        <v>3.2504977154571195</v>
      </c>
      <c r="Q24" s="184">
        <f t="shared" si="5"/>
        <v>3.1335175628886081</v>
      </c>
      <c r="R24" s="184">
        <f t="shared" si="5"/>
        <v>2.8319506281606031</v>
      </c>
      <c r="S24" s="92"/>
      <c r="T24" s="92"/>
      <c r="U24" s="92"/>
      <c r="V24" s="92"/>
      <c r="W24" s="92"/>
      <c r="X24" s="92"/>
      <c r="Y24" s="92"/>
      <c r="Z24" s="92"/>
    </row>
    <row r="26" spans="1:16383" s="205" customFormat="1" x14ac:dyDescent="0.25">
      <c r="A26" s="201"/>
      <c r="B26" s="202"/>
      <c r="C26" s="203"/>
      <c r="D26" s="204"/>
      <c r="E26" s="37" t="str">
        <f xml:space="preserve"> InpR!E$97</f>
        <v>Run-off rate - CPI(H) + RPI wedge - active - BR</v>
      </c>
      <c r="F26" s="205">
        <f xml:space="preserve"> InpR!F$97</f>
        <v>0</v>
      </c>
      <c r="G26" s="223" t="str">
        <f xml:space="preserve"> InpR!G$97</f>
        <v>%</v>
      </c>
      <c r="H26" s="205" t="str">
        <f xml:space="preserve"> InpR!I$97</f>
        <v>PR19 Financial model, 'F_OutputsMaster' sheet row 962, PR19FM2099POST</v>
      </c>
      <c r="I26" s="205" t="e">
        <f xml:space="preserve"> InpR!#REF!</f>
        <v>#REF!</v>
      </c>
      <c r="J26" s="205">
        <f xml:space="preserve"> InpR!J$97</f>
        <v>0</v>
      </c>
      <c r="K26" s="205">
        <f xml:space="preserve"> InpR!K$97</f>
        <v>0</v>
      </c>
      <c r="L26" s="205">
        <f xml:space="preserve"> InpR!L$97</f>
        <v>0</v>
      </c>
      <c r="M26" s="205">
        <f xml:space="preserve"> InpR!M$97</f>
        <v>6.5880214846322976E-2</v>
      </c>
      <c r="N26" s="205">
        <f xml:space="preserve"> InpR!N$97</f>
        <v>6.5880214846322976E-2</v>
      </c>
      <c r="O26" s="205">
        <f xml:space="preserve"> InpR!O$97</f>
        <v>6.5880214846322976E-2</v>
      </c>
      <c r="P26" s="205">
        <f xml:space="preserve"> InpR!P$97</f>
        <v>6.5880214846322976E-2</v>
      </c>
      <c r="Q26" s="205">
        <f xml:space="preserve"> InpR!Q$97</f>
        <v>6.5880214846322976E-2</v>
      </c>
      <c r="R26" s="205">
        <f xml:space="preserve"> InpR!R$97</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114.56413067011066</v>
      </c>
      <c r="N27" s="241">
        <f t="shared" si="6"/>
        <v>109.61264011668467</v>
      </c>
      <c r="O27" s="241">
        <f t="shared" si="6"/>
        <v>105.42085470908695</v>
      </c>
      <c r="P27" s="241">
        <f t="shared" si="6"/>
        <v>101.57805360803277</v>
      </c>
      <c r="Q27" s="241">
        <f t="shared" si="6"/>
        <v>97.922423840269587</v>
      </c>
      <c r="R27" s="241">
        <f t="shared" si="6"/>
        <v>94.398354272020711</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2.7791071659787629</v>
      </c>
      <c r="N28" s="184">
        <f t="shared" si="7"/>
        <v>3.2431802872730526</v>
      </c>
      <c r="O28" s="184">
        <f t="shared" si="7"/>
        <v>3.3211452168878863</v>
      </c>
      <c r="P28" s="184">
        <f t="shared" si="7"/>
        <v>3.2504977154571195</v>
      </c>
      <c r="Q28" s="184">
        <f t="shared" si="7"/>
        <v>3.1335175628886081</v>
      </c>
      <c r="R28" s="184">
        <f t="shared" si="7"/>
        <v>2.8319506281606031</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7.7305977194047459</v>
      </c>
      <c r="N29" s="184">
        <f t="shared" si="8"/>
        <v>7.4349656948707752</v>
      </c>
      <c r="O29" s="184">
        <f t="shared" si="8"/>
        <v>7.1639463179420595</v>
      </c>
      <c r="P29" s="184">
        <f t="shared" si="8"/>
        <v>6.9061274832203088</v>
      </c>
      <c r="Q29" s="184">
        <f t="shared" si="8"/>
        <v>6.6575871311374879</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InpR!$E$90</f>
        <v>RCV - CPI(H) + RPI wedge initial balance - nominal - BR</v>
      </c>
      <c r="F31" s="250">
        <f>InpR!$F$90</f>
        <v>114.56413067011066</v>
      </c>
      <c r="G31" s="249" t="str">
        <f>InpR!$G$90</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114.56413067011066</v>
      </c>
      <c r="N34" s="242">
        <f t="shared" si="9"/>
        <v>109.61264011668467</v>
      </c>
      <c r="O34" s="242">
        <f t="shared" si="9"/>
        <v>105.42085470908695</v>
      </c>
      <c r="P34" s="242">
        <f t="shared" si="9"/>
        <v>101.57805360803277</v>
      </c>
      <c r="Q34" s="242">
        <f t="shared" si="9"/>
        <v>97.922423840269587</v>
      </c>
      <c r="R34" s="242">
        <f t="shared" si="9"/>
        <v>94.398354272020711</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2.7791071659787629</v>
      </c>
      <c r="N35" s="242">
        <f t="shared" si="10"/>
        <v>3.2431802872730526</v>
      </c>
      <c r="O35" s="242">
        <f t="shared" si="10"/>
        <v>3.3211452168878863</v>
      </c>
      <c r="P35" s="242">
        <f t="shared" si="10"/>
        <v>3.2504977154571195</v>
      </c>
      <c r="Q35" s="242">
        <f t="shared" si="10"/>
        <v>3.1335175628886081</v>
      </c>
      <c r="R35" s="242">
        <f t="shared" si="10"/>
        <v>2.8319506281606031</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7.7305977194047459</v>
      </c>
      <c r="N36" s="242">
        <f t="shared" si="11"/>
        <v>7.4349656948707752</v>
      </c>
      <c r="O36" s="242">
        <f t="shared" si="11"/>
        <v>7.1639463179420595</v>
      </c>
      <c r="P36" s="242">
        <f t="shared" si="11"/>
        <v>6.9061274832203088</v>
      </c>
      <c r="Q36" s="242">
        <f t="shared" si="11"/>
        <v>6.6575871311374879</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114.56413067011066</v>
      </c>
      <c r="M37" s="243">
        <f t="shared" si="12"/>
        <v>109.61264011668467</v>
      </c>
      <c r="N37" s="243">
        <f t="shared" si="12"/>
        <v>105.42085470908695</v>
      </c>
      <c r="O37" s="243">
        <f t="shared" si="12"/>
        <v>101.57805360803277</v>
      </c>
      <c r="P37" s="243">
        <f t="shared" si="12"/>
        <v>97.922423840269587</v>
      </c>
      <c r="Q37" s="243">
        <f t="shared" si="12"/>
        <v>94.398354272020711</v>
      </c>
      <c r="R37" s="243">
        <f t="shared" si="12"/>
        <v>97.230304900181309</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114.56413067011066</v>
      </c>
      <c r="N39" s="185">
        <f t="shared" si="13"/>
        <v>109.61264011668467</v>
      </c>
      <c r="O39" s="185">
        <f t="shared" si="13"/>
        <v>105.42085470908695</v>
      </c>
      <c r="P39" s="185">
        <f t="shared" si="13"/>
        <v>101.57805360803277</v>
      </c>
      <c r="Q39" s="185">
        <f t="shared" si="13"/>
        <v>97.922423840269587</v>
      </c>
      <c r="R39" s="185">
        <f t="shared" si="13"/>
        <v>94.398354272020711</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2.7791071659787629</v>
      </c>
      <c r="N40" s="242">
        <f t="shared" si="14"/>
        <v>3.2431802872730526</v>
      </c>
      <c r="O40" s="242">
        <f t="shared" si="14"/>
        <v>3.3211452168878863</v>
      </c>
      <c r="P40" s="242">
        <f t="shared" si="14"/>
        <v>3.2504977154571195</v>
      </c>
      <c r="Q40" s="242">
        <f t="shared" si="14"/>
        <v>3.1335175628886081</v>
      </c>
      <c r="R40" s="242">
        <f t="shared" si="14"/>
        <v>2.8319506281606031</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114.56413067011066</v>
      </c>
      <c r="M41" s="185">
        <f t="shared" si="15"/>
        <v>109.61264011668467</v>
      </c>
      <c r="N41" s="185">
        <f t="shared" si="15"/>
        <v>105.42085470908695</v>
      </c>
      <c r="O41" s="185">
        <f t="shared" si="15"/>
        <v>101.57805360803277</v>
      </c>
      <c r="P41" s="185">
        <f t="shared" si="15"/>
        <v>97.922423840269587</v>
      </c>
      <c r="Q41" s="185">
        <f t="shared" si="15"/>
        <v>94.398354272020711</v>
      </c>
      <c r="R41" s="185">
        <f t="shared" si="15"/>
        <v>97.230304900181309</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57.282065335055329</v>
      </c>
      <c r="M42" s="185">
        <f xml:space="preserve"> ( (M39+M40) + M41) / 2</f>
        <v>113.47793897638704</v>
      </c>
      <c r="N42" s="185">
        <f t="shared" ref="N42:R42" si="17" xml:space="preserve"> ( (N39+N40) + N41) / 2</f>
        <v>109.13833755652234</v>
      </c>
      <c r="O42" s="185">
        <f t="shared" si="17"/>
        <v>105.16002676700381</v>
      </c>
      <c r="P42" s="185">
        <f t="shared" si="17"/>
        <v>101.37548758187974</v>
      </c>
      <c r="Q42" s="185">
        <f t="shared" si="17"/>
        <v>97.727147837589456</v>
      </c>
      <c r="R42" s="185">
        <f t="shared" si="17"/>
        <v>97.230304900181309</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InpR!E$104</f>
        <v>WACC on RCV - CPI(H) + RPI wedge bf and additions - BR</v>
      </c>
      <c r="F45" s="205">
        <f xml:space="preserve"> InpR!F$104</f>
        <v>0</v>
      </c>
      <c r="G45" s="223" t="str">
        <f xml:space="preserve"> InpR!G$104</f>
        <v>%</v>
      </c>
      <c r="H45" s="205" t="str">
        <f xml:space="preserve"> InpR!I$104</f>
        <v>PR19 Financial model, 'Bio Resources' sheet row 980</v>
      </c>
      <c r="I45" s="205" t="e">
        <f xml:space="preserve"> InpR!#REF!</f>
        <v>#REF!</v>
      </c>
      <c r="J45" s="205">
        <f xml:space="preserve"> InpR!J$104</f>
        <v>0</v>
      </c>
      <c r="K45" s="205">
        <f xml:space="preserve"> InpR!K$104</f>
        <v>0</v>
      </c>
      <c r="L45" s="205">
        <f xml:space="preserve"> InpR!L$104</f>
        <v>0</v>
      </c>
      <c r="M45" s="205">
        <f xml:space="preserve"> InpR!M$104</f>
        <v>1.920357193840716E-2</v>
      </c>
      <c r="N45" s="205">
        <f xml:space="preserve"> InpR!N$104</f>
        <v>1.920357193840716E-2</v>
      </c>
      <c r="O45" s="205">
        <f xml:space="preserve"> InpR!O$104</f>
        <v>1.920357193840716E-2</v>
      </c>
      <c r="P45" s="205">
        <f xml:space="preserve"> InpR!P$104</f>
        <v>1.920357193840716E-2</v>
      </c>
      <c r="Q45" s="205">
        <f xml:space="preserve"> InpR!Q$104</f>
        <v>1.920357193840716E-2</v>
      </c>
      <c r="R45" s="205">
        <f xml:space="preserve"> InpR!R$104</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57.282065335055329</v>
      </c>
      <c r="M47" s="184">
        <f t="shared" si="18"/>
        <v>113.47793897638704</v>
      </c>
      <c r="N47" s="184">
        <f t="shared" si="18"/>
        <v>109.13833755652234</v>
      </c>
      <c r="O47" s="184">
        <f t="shared" si="18"/>
        <v>105.16002676700381</v>
      </c>
      <c r="P47" s="184">
        <f t="shared" si="18"/>
        <v>101.37548758187974</v>
      </c>
      <c r="Q47" s="184">
        <f t="shared" si="18"/>
        <v>97.727147837589456</v>
      </c>
      <c r="R47" s="184">
        <f t="shared" si="18"/>
        <v>97.230304900181309</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2.1791817645552261</v>
      </c>
      <c r="N48" s="184">
        <f t="shared" ref="N48:R48" si="20">N45*N47*N46</f>
        <v>2.0958459165048406</v>
      </c>
      <c r="O48" s="184">
        <f t="shared" si="20"/>
        <v>2.0194481390649801</v>
      </c>
      <c r="P48" s="184">
        <f t="shared" si="20"/>
        <v>1.9467714685697293</v>
      </c>
      <c r="Q48" s="184">
        <f t="shared" si="20"/>
        <v>1.8767103138345009</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7.7305977194047459</v>
      </c>
      <c r="N51" s="184">
        <f t="shared" si="21"/>
        <v>7.4349656948707752</v>
      </c>
      <c r="O51" s="184">
        <f t="shared" si="21"/>
        <v>7.1639463179420595</v>
      </c>
      <c r="P51" s="184">
        <f t="shared" si="21"/>
        <v>6.9061274832203088</v>
      </c>
      <c r="Q51" s="184">
        <f t="shared" si="21"/>
        <v>6.6575871311374879</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2.1791817645552261</v>
      </c>
      <c r="N52" s="184">
        <f t="shared" si="22"/>
        <v>2.0958459165048406</v>
      </c>
      <c r="O52" s="184">
        <f t="shared" si="22"/>
        <v>2.0194481390649801</v>
      </c>
      <c r="P52" s="184">
        <f t="shared" si="22"/>
        <v>1.9467714685697293</v>
      </c>
      <c r="Q52" s="184">
        <f t="shared" si="22"/>
        <v>1.8767103138345009</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46.01118194910466</v>
      </c>
      <c r="I53" s="184"/>
      <c r="J53" s="184">
        <f t="shared" ref="J53:R53" si="23">SUM(J51:J52)</f>
        <v>0</v>
      </c>
      <c r="K53" s="184">
        <f t="shared" si="23"/>
        <v>0</v>
      </c>
      <c r="L53" s="184">
        <f>SUM(L51:L52)</f>
        <v>0</v>
      </c>
      <c r="M53" s="185">
        <f t="shared" si="23"/>
        <v>9.9097794839599729</v>
      </c>
      <c r="N53" s="185">
        <f t="shared" si="23"/>
        <v>9.5308116113756149</v>
      </c>
      <c r="O53" s="184">
        <f t="shared" si="23"/>
        <v>9.18339445700704</v>
      </c>
      <c r="P53" s="184">
        <f t="shared" si="23"/>
        <v>8.8528989517900385</v>
      </c>
      <c r="Q53" s="184">
        <f t="shared" si="23"/>
        <v>8.5342974449719886</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9.9097794839599729</v>
      </c>
      <c r="N61" s="184">
        <f t="shared" si="24"/>
        <v>9.5308116113756149</v>
      </c>
      <c r="O61" s="184">
        <f t="shared" si="24"/>
        <v>9.18339445700704</v>
      </c>
      <c r="P61" s="184">
        <f t="shared" si="24"/>
        <v>8.8528989517900385</v>
      </c>
      <c r="Q61" s="184">
        <f t="shared" si="24"/>
        <v>8.5342974449719886</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2.6383826896292373E-2</v>
      </c>
      <c r="Q69" s="205">
        <f>Index!Q$135</f>
        <v>1.413341847387195E-2</v>
      </c>
      <c r="R69" s="205">
        <f>Index!R$135</f>
        <v>0</v>
      </c>
    </row>
    <row r="70" spans="1:16383" s="172" customFormat="1" x14ac:dyDescent="0.25">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4.7383826896292947E-2</v>
      </c>
      <c r="Q70" s="172">
        <f t="shared" si="26"/>
        <v>3.513341847387319E-2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114.56413067011066</v>
      </c>
      <c r="N73" s="241">
        <f t="shared" si="27"/>
        <v>109.21146559980242</v>
      </c>
      <c r="O73" s="241">
        <f t="shared" si="27"/>
        <v>106.20608927903541</v>
      </c>
      <c r="P73" s="241">
        <f t="shared" si="27"/>
        <v>105.33531540153474</v>
      </c>
      <c r="Q73" s="241">
        <f t="shared" si="27"/>
        <v>103.05817185036292</v>
      </c>
      <c r="R73" s="241">
        <f t="shared" si="27"/>
        <v>99.650925074356905</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4.7383826896292947E-2</v>
      </c>
      <c r="Q74" s="172">
        <f t="shared" si="28"/>
        <v>3.513341847387319E-2</v>
      </c>
      <c r="R74" s="172">
        <f t="shared" si="28"/>
        <v>1.999999999999913E-2</v>
      </c>
      <c r="S74" s="177"/>
      <c r="T74" s="177"/>
      <c r="U74" s="177"/>
      <c r="V74" s="177"/>
      <c r="W74" s="177"/>
      <c r="X74" s="177"/>
      <c r="Y74" s="177"/>
      <c r="Z74" s="177"/>
    </row>
    <row r="75" spans="1:16383" x14ac:dyDescent="0.25">
      <c r="E75" s="7" t="s">
        <v>152</v>
      </c>
      <c r="G75" s="162" t="s">
        <v>88</v>
      </c>
      <c r="J75" s="184">
        <f t="shared" ref="J75:L75" si="29">J73*J74</f>
        <v>0</v>
      </c>
      <c r="K75" s="184">
        <f t="shared" si="29"/>
        <v>0</v>
      </c>
      <c r="L75" s="184">
        <f t="shared" si="29"/>
        <v>0</v>
      </c>
      <c r="M75" s="184">
        <f>M73*M74</f>
        <v>2.3496392077379875</v>
      </c>
      <c r="N75" s="184">
        <f t="shared" ref="N75:R75" si="30">N73*N74</f>
        <v>4.4849692332986457</v>
      </c>
      <c r="O75" s="184">
        <f t="shared" si="30"/>
        <v>6.5581590279474886</v>
      </c>
      <c r="P75" s="184">
        <f t="shared" si="30"/>
        <v>4.9911903510527429</v>
      </c>
      <c r="Q75" s="184">
        <f t="shared" si="30"/>
        <v>3.6207858787711387</v>
      </c>
      <c r="R75" s="184">
        <f t="shared" si="30"/>
        <v>1.9930185014870514</v>
      </c>
    </row>
    <row r="77" spans="1:16383" s="205" customFormat="1" x14ac:dyDescent="0.25">
      <c r="A77" s="201"/>
      <c r="B77" s="202"/>
      <c r="C77" s="203"/>
      <c r="D77" s="204"/>
      <c r="E77" s="37" t="str">
        <f xml:space="preserve"> InpR!E$97</f>
        <v>Run-off rate - CPI(H) + RPI wedge - active - BR</v>
      </c>
      <c r="F77" s="205">
        <f xml:space="preserve"> InpR!F$97</f>
        <v>0</v>
      </c>
      <c r="G77" s="223" t="str">
        <f xml:space="preserve"> InpR!G$97</f>
        <v>%</v>
      </c>
      <c r="H77" s="205" t="str">
        <f xml:space="preserve"> InpR!I$97</f>
        <v>PR19 Financial model, 'F_OutputsMaster' sheet row 962, PR19FM2099POST</v>
      </c>
      <c r="I77" s="205" t="e">
        <f xml:space="preserve"> InpR!#REF!</f>
        <v>#REF!</v>
      </c>
      <c r="J77" s="205">
        <f xml:space="preserve"> InpR!J$97</f>
        <v>0</v>
      </c>
      <c r="K77" s="205">
        <f xml:space="preserve"> InpR!K$97</f>
        <v>0</v>
      </c>
      <c r="L77" s="205">
        <f xml:space="preserve"> InpR!L$97</f>
        <v>0</v>
      </c>
      <c r="M77" s="205">
        <f xml:space="preserve"> InpR!M$97</f>
        <v>6.5880214846322976E-2</v>
      </c>
      <c r="N77" s="205">
        <f xml:space="preserve"> InpR!N$97</f>
        <v>6.5880214846322976E-2</v>
      </c>
      <c r="O77" s="205">
        <f xml:space="preserve"> InpR!O$97</f>
        <v>6.5880214846322976E-2</v>
      </c>
      <c r="P77" s="205">
        <f xml:space="preserve"> InpR!P$97</f>
        <v>6.5880214846322976E-2</v>
      </c>
      <c r="Q77" s="205">
        <f xml:space="preserve"> InpR!Q$97</f>
        <v>6.5880214846322976E-2</v>
      </c>
      <c r="R77" s="205">
        <f xml:space="preserve"> InpR!R$97</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114.56413067011066</v>
      </c>
      <c r="N78" s="241">
        <f t="shared" si="31"/>
        <v>109.21146559980242</v>
      </c>
      <c r="O78" s="241">
        <f t="shared" si="31"/>
        <v>106.20608927903541</v>
      </c>
      <c r="P78" s="241">
        <f t="shared" si="31"/>
        <v>105.33531540153474</v>
      </c>
      <c r="Q78" s="241">
        <f t="shared" si="31"/>
        <v>103.05817185036292</v>
      </c>
      <c r="R78" s="241">
        <f t="shared" si="31"/>
        <v>99.650925074356905</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2.3496392077379875</v>
      </c>
      <c r="N79" s="184">
        <f t="shared" si="32"/>
        <v>4.4849692332986457</v>
      </c>
      <c r="O79" s="184">
        <f t="shared" si="32"/>
        <v>6.5581590279474886</v>
      </c>
      <c r="P79" s="184">
        <f t="shared" si="32"/>
        <v>4.9911903510527429</v>
      </c>
      <c r="Q79" s="184">
        <f t="shared" si="32"/>
        <v>3.6207858787711387</v>
      </c>
      <c r="R79" s="184">
        <f t="shared" si="32"/>
        <v>1.9930185014870514</v>
      </c>
    </row>
    <row r="80" spans="1:16383" x14ac:dyDescent="0.25">
      <c r="E80" s="7" t="s">
        <v>153</v>
      </c>
      <c r="F80" s="244"/>
      <c r="G80" s="244" t="s">
        <v>88</v>
      </c>
      <c r="H80" s="244"/>
      <c r="I80" s="244"/>
      <c r="J80" s="184">
        <f t="shared" ref="J80:R80" si="33" xml:space="preserve"> (J78+J79) * J77</f>
        <v>0</v>
      </c>
      <c r="K80" s="184">
        <f t="shared" si="33"/>
        <v>0</v>
      </c>
      <c r="L80" s="184">
        <f t="shared" si="33"/>
        <v>0</v>
      </c>
      <c r="M80" s="184">
        <f t="shared" si="33"/>
        <v>7.702304278046233</v>
      </c>
      <c r="N80" s="184">
        <f xml:space="preserve"> (N78+N79) * N77</f>
        <v>7.4903455540656578</v>
      </c>
      <c r="O80" s="184">
        <f t="shared" si="33"/>
        <v>7.4289329054481446</v>
      </c>
      <c r="P80" s="184">
        <f t="shared" si="33"/>
        <v>7.2683339022245512</v>
      </c>
      <c r="Q80" s="184">
        <f t="shared" si="33"/>
        <v>7.0280326547771592</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InpR!$E$90</f>
        <v>RCV - CPI(H) + RPI wedge initial balance - nominal - BR</v>
      </c>
      <c r="F82" s="250">
        <f>InpR!$F$90</f>
        <v>114.56413067011066</v>
      </c>
      <c r="G82" s="249" t="str">
        <f>InpR!$G$90</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R85" si="34" xml:space="preserve"> I88</f>
        <v>0</v>
      </c>
      <c r="K85" s="242">
        <f t="shared" si="34"/>
        <v>0</v>
      </c>
      <c r="L85" s="242">
        <f t="shared" si="34"/>
        <v>0</v>
      </c>
      <c r="M85" s="242">
        <f t="shared" si="34"/>
        <v>114.56413067011066</v>
      </c>
      <c r="N85" s="242">
        <f t="shared" si="34"/>
        <v>109.21146559980242</v>
      </c>
      <c r="O85" s="242">
        <f t="shared" si="34"/>
        <v>106.20608927903541</v>
      </c>
      <c r="P85" s="242">
        <f t="shared" si="34"/>
        <v>105.33531540153474</v>
      </c>
      <c r="Q85" s="242">
        <f t="shared" si="34"/>
        <v>103.05817185036292</v>
      </c>
      <c r="R85" s="242">
        <f t="shared" si="34"/>
        <v>99.650925074356905</v>
      </c>
    </row>
    <row r="86" spans="1:18" x14ac:dyDescent="0.25">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2.3496392077379875</v>
      </c>
      <c r="N86" s="242">
        <f t="shared" si="35"/>
        <v>4.4849692332986457</v>
      </c>
      <c r="O86" s="242">
        <f t="shared" si="35"/>
        <v>6.5581590279474886</v>
      </c>
      <c r="P86" s="242">
        <f t="shared" si="35"/>
        <v>4.9911903510527429</v>
      </c>
      <c r="Q86" s="242">
        <f t="shared" si="35"/>
        <v>3.6207858787711387</v>
      </c>
      <c r="R86" s="242">
        <f t="shared" si="35"/>
        <v>1.9930185014870514</v>
      </c>
    </row>
    <row r="87" spans="1:18" x14ac:dyDescent="0.25">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7.702304278046233</v>
      </c>
      <c r="N87" s="242">
        <f t="shared" si="36"/>
        <v>7.4903455540656578</v>
      </c>
      <c r="O87" s="242">
        <f t="shared" si="36"/>
        <v>7.4289329054481446</v>
      </c>
      <c r="P87" s="242">
        <f t="shared" si="36"/>
        <v>7.2683339022245512</v>
      </c>
      <c r="Q87" s="242">
        <f t="shared" si="36"/>
        <v>7.0280326547771592</v>
      </c>
      <c r="R87" s="242">
        <f t="shared" si="36"/>
        <v>0</v>
      </c>
    </row>
    <row r="88" spans="1:18" s="138" customFormat="1" x14ac:dyDescent="0.25">
      <c r="A88" s="134"/>
      <c r="B88" s="135"/>
      <c r="C88" s="136"/>
      <c r="D88" s="137"/>
      <c r="E88" s="138" t="s">
        <v>155</v>
      </c>
      <c r="G88" s="163" t="s">
        <v>88</v>
      </c>
      <c r="J88" s="243">
        <f t="shared" ref="J88:R88" si="37" xml:space="preserve"> IF( J83 = 1, $F82, J85 + J86 - J87)</f>
        <v>0</v>
      </c>
      <c r="K88" s="243">
        <f t="shared" si="37"/>
        <v>0</v>
      </c>
      <c r="L88" s="243">
        <f t="shared" si="37"/>
        <v>114.56413067011066</v>
      </c>
      <c r="M88" s="243">
        <f t="shared" si="37"/>
        <v>109.21146559980242</v>
      </c>
      <c r="N88" s="243">
        <f t="shared" si="37"/>
        <v>106.20608927903541</v>
      </c>
      <c r="O88" s="243">
        <f t="shared" si="37"/>
        <v>105.33531540153474</v>
      </c>
      <c r="P88" s="243">
        <f t="shared" si="37"/>
        <v>103.05817185036292</v>
      </c>
      <c r="Q88" s="243">
        <f t="shared" si="37"/>
        <v>99.650925074356905</v>
      </c>
      <c r="R88" s="243">
        <f t="shared" si="37"/>
        <v>101.64394357584396</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114.56413067011066</v>
      </c>
      <c r="N90" s="185">
        <f t="shared" si="38"/>
        <v>109.21146559980242</v>
      </c>
      <c r="O90" s="185">
        <f t="shared" si="38"/>
        <v>106.20608927903541</v>
      </c>
      <c r="P90" s="185">
        <f t="shared" si="38"/>
        <v>105.33531540153474</v>
      </c>
      <c r="Q90" s="185">
        <f t="shared" si="38"/>
        <v>103.05817185036292</v>
      </c>
      <c r="R90" s="185">
        <f t="shared" si="38"/>
        <v>99.650925074356905</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2.3496392077379875</v>
      </c>
      <c r="N91" s="242">
        <f t="shared" si="39"/>
        <v>4.4849692332986457</v>
      </c>
      <c r="O91" s="242">
        <f t="shared" si="39"/>
        <v>6.5581590279474886</v>
      </c>
      <c r="P91" s="242">
        <f t="shared" si="39"/>
        <v>4.9911903510527429</v>
      </c>
      <c r="Q91" s="242">
        <f t="shared" si="39"/>
        <v>3.6207858787711387</v>
      </c>
      <c r="R91" s="242">
        <f t="shared" si="39"/>
        <v>1.9930185014870514</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114.56413067011066</v>
      </c>
      <c r="M92" s="185">
        <f t="shared" si="40"/>
        <v>109.21146559980242</v>
      </c>
      <c r="N92" s="185">
        <f t="shared" si="40"/>
        <v>106.20608927903541</v>
      </c>
      <c r="O92" s="185">
        <f t="shared" si="40"/>
        <v>105.33531540153474</v>
      </c>
      <c r="P92" s="185">
        <f t="shared" si="40"/>
        <v>103.05817185036292</v>
      </c>
      <c r="Q92" s="185">
        <f t="shared" si="40"/>
        <v>99.650925074356905</v>
      </c>
      <c r="R92" s="185">
        <f t="shared" si="40"/>
        <v>101.64394357584396</v>
      </c>
    </row>
    <row r="93" spans="1:18" x14ac:dyDescent="0.25">
      <c r="A93" s="49"/>
      <c r="D93" s="57"/>
      <c r="E93" s="7" t="s">
        <v>173</v>
      </c>
      <c r="G93" s="92" t="s">
        <v>88</v>
      </c>
      <c r="H93" s="244"/>
      <c r="I93" s="244"/>
      <c r="J93" s="185">
        <f t="shared" ref="J93:K93" si="41" xml:space="preserve"> ( (J90+J91) + J92) / 2</f>
        <v>0</v>
      </c>
      <c r="K93" s="185">
        <f t="shared" si="41"/>
        <v>0</v>
      </c>
      <c r="L93" s="185">
        <f xml:space="preserve"> ( (L90+L91) + L92) / 2</f>
        <v>57.282065335055329</v>
      </c>
      <c r="M93" s="185">
        <f xml:space="preserve"> ( (M90+M91) + M92) / 2</f>
        <v>113.06261773882554</v>
      </c>
      <c r="N93" s="185">
        <f t="shared" ref="N93:P93" si="42" xml:space="preserve"> ( (N90+N91) + N92) / 2</f>
        <v>109.95126205606823</v>
      </c>
      <c r="O93" s="185">
        <f t="shared" si="42"/>
        <v>109.04978185425881</v>
      </c>
      <c r="P93" s="185">
        <f t="shared" si="42"/>
        <v>106.6923388014752</v>
      </c>
      <c r="Q93" s="185">
        <f xml:space="preserve"> ( (Q90+Q91) + Q92) / 2</f>
        <v>103.16494140174549</v>
      </c>
      <c r="R93" s="185">
        <f t="shared" ref="R93" si="43" xml:space="preserve"> ( (R90+R91) + R92) / 2</f>
        <v>101.64394357584396</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InpR!E$104</f>
        <v>WACC on RCV - CPI(H) + RPI wedge bf and additions - BR</v>
      </c>
      <c r="F96" s="205">
        <f xml:space="preserve"> InpR!F$104</f>
        <v>0</v>
      </c>
      <c r="G96" s="223" t="str">
        <f xml:space="preserve"> InpR!G$104</f>
        <v>%</v>
      </c>
      <c r="H96" s="205" t="str">
        <f xml:space="preserve"> InpR!I$104</f>
        <v>PR19 Financial model, 'Bio Resources' sheet row 980</v>
      </c>
      <c r="I96" s="205" t="e">
        <f xml:space="preserve"> InpR!#REF!</f>
        <v>#REF!</v>
      </c>
      <c r="J96" s="205">
        <f xml:space="preserve"> InpR!J$104</f>
        <v>0</v>
      </c>
      <c r="K96" s="205">
        <f xml:space="preserve"> InpR!K$104</f>
        <v>0</v>
      </c>
      <c r="L96" s="205">
        <f xml:space="preserve"> InpR!L$104</f>
        <v>0</v>
      </c>
      <c r="M96" s="205">
        <f xml:space="preserve"> InpR!M$104</f>
        <v>1.920357193840716E-2</v>
      </c>
      <c r="N96" s="205">
        <f xml:space="preserve"> InpR!N$104</f>
        <v>1.920357193840716E-2</v>
      </c>
      <c r="O96" s="205">
        <f xml:space="preserve"> InpR!O$104</f>
        <v>1.920357193840716E-2</v>
      </c>
      <c r="P96" s="205">
        <f xml:space="preserve"> InpR!P$104</f>
        <v>1.920357193840716E-2</v>
      </c>
      <c r="Q96" s="205">
        <f xml:space="preserve"> InpR!Q$104</f>
        <v>1.920357193840716E-2</v>
      </c>
      <c r="R96" s="205">
        <f xml:space="preserve"> InpR!R$104</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57.282065335055329</v>
      </c>
      <c r="M98" s="184">
        <f t="shared" si="44"/>
        <v>113.06261773882554</v>
      </c>
      <c r="N98" s="184">
        <f t="shared" si="44"/>
        <v>109.95126205606823</v>
      </c>
      <c r="O98" s="184">
        <f t="shared" si="44"/>
        <v>109.04978185425881</v>
      </c>
      <c r="P98" s="184">
        <f t="shared" si="44"/>
        <v>106.6923388014752</v>
      </c>
      <c r="Q98" s="184">
        <f t="shared" si="44"/>
        <v>103.16494140174549</v>
      </c>
      <c r="R98" s="184">
        <f t="shared" si="44"/>
        <v>101.64394357584396</v>
      </c>
    </row>
    <row r="99" spans="1:26" x14ac:dyDescent="0.25">
      <c r="E99" s="7" t="s">
        <v>157</v>
      </c>
      <c r="F99" s="244"/>
      <c r="G99" s="184" t="s">
        <v>88</v>
      </c>
      <c r="H99" s="244"/>
      <c r="I99" s="244"/>
      <c r="J99" s="244">
        <f t="shared" ref="J99:K99" si="45">J96*J97*J98</f>
        <v>0</v>
      </c>
      <c r="K99" s="244">
        <f t="shared" si="45"/>
        <v>0</v>
      </c>
      <c r="L99" s="244">
        <f>L96*L97*L98</f>
        <v>0</v>
      </c>
      <c r="M99" s="244">
        <f>M96*M97*M98</f>
        <v>2.1712061132921656</v>
      </c>
      <c r="N99" s="244">
        <f t="shared" ref="N99:R99" si="46">N96*N97*N98</f>
        <v>2.1114569706123638</v>
      </c>
      <c r="O99" s="244">
        <f t="shared" si="46"/>
        <v>2.0941453307058668</v>
      </c>
      <c r="P99" s="244">
        <f t="shared" si="46"/>
        <v>2.0488740034510387</v>
      </c>
      <c r="Q99" s="244">
        <f t="shared" si="46"/>
        <v>1.9811353737299788</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114.56413067011066</v>
      </c>
      <c r="M102" s="185">
        <f t="shared" si="47"/>
        <v>109.21146559980242</v>
      </c>
      <c r="N102" s="185">
        <f t="shared" si="47"/>
        <v>106.20608927903541</v>
      </c>
      <c r="O102" s="185">
        <f t="shared" si="47"/>
        <v>105.33531540153474</v>
      </c>
      <c r="P102" s="185">
        <f t="shared" si="47"/>
        <v>103.05817185036292</v>
      </c>
      <c r="Q102" s="185">
        <f t="shared" si="47"/>
        <v>99.650925074356905</v>
      </c>
      <c r="R102" s="185">
        <f t="shared" si="47"/>
        <v>101.64394357584396</v>
      </c>
    </row>
    <row r="103" spans="1:26" x14ac:dyDescent="0.25">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99.650925074356905</v>
      </c>
      <c r="R103" s="184">
        <f t="shared" si="48"/>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7.702304278046233</v>
      </c>
      <c r="N106" s="184">
        <f t="shared" si="49"/>
        <v>7.4903455540656578</v>
      </c>
      <c r="O106" s="184">
        <f t="shared" si="49"/>
        <v>7.4289329054481446</v>
      </c>
      <c r="P106" s="184">
        <f t="shared" si="49"/>
        <v>7.2683339022245512</v>
      </c>
      <c r="Q106" s="184">
        <f t="shared" si="49"/>
        <v>7.0280326547771592</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2.1712061132921656</v>
      </c>
      <c r="N107" s="184">
        <f t="shared" si="50"/>
        <v>2.1114569706123638</v>
      </c>
      <c r="O107" s="184">
        <f t="shared" si="50"/>
        <v>2.0941453307058668</v>
      </c>
      <c r="P107" s="184">
        <f t="shared" si="50"/>
        <v>2.0488740034510387</v>
      </c>
      <c r="Q107" s="184">
        <f t="shared" si="50"/>
        <v>1.9811353737299788</v>
      </c>
      <c r="R107" s="184">
        <f t="shared" si="50"/>
        <v>0</v>
      </c>
      <c r="S107" s="92"/>
      <c r="T107" s="92"/>
      <c r="U107" s="92"/>
      <c r="V107" s="92"/>
      <c r="W107" s="92"/>
      <c r="X107" s="92"/>
      <c r="Y107" s="92"/>
      <c r="Z107" s="92"/>
    </row>
    <row r="108" spans="1:26" x14ac:dyDescent="0.25">
      <c r="E108" s="7" t="s">
        <v>266</v>
      </c>
      <c r="F108" s="244"/>
      <c r="G108" s="184" t="str">
        <f t="shared" si="50"/>
        <v>£m</v>
      </c>
      <c r="H108" s="244">
        <f>SUM(J108:R108)</f>
        <v>47.324767086353162</v>
      </c>
      <c r="I108" s="244"/>
      <c r="J108" s="244">
        <f t="shared" ref="J108:R108" si="51">SUM(J106:J107)</f>
        <v>0</v>
      </c>
      <c r="K108" s="244">
        <f t="shared" si="51"/>
        <v>0</v>
      </c>
      <c r="L108" s="244">
        <f t="shared" si="51"/>
        <v>0</v>
      </c>
      <c r="M108" s="244">
        <f t="shared" si="51"/>
        <v>9.8735103913383995</v>
      </c>
      <c r="N108" s="244">
        <f t="shared" si="51"/>
        <v>9.6018025246780212</v>
      </c>
      <c r="O108" s="244">
        <f t="shared" si="51"/>
        <v>9.5230782361540118</v>
      </c>
      <c r="P108" s="244">
        <f t="shared" si="51"/>
        <v>9.3172079056755894</v>
      </c>
      <c r="Q108" s="244">
        <f t="shared" si="51"/>
        <v>9.0091680285071387</v>
      </c>
      <c r="R108" s="244">
        <f t="shared" si="51"/>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9.9097794839599729</v>
      </c>
      <c r="N114" s="184">
        <f t="shared" si="52"/>
        <v>9.5308116113756149</v>
      </c>
      <c r="O114" s="184">
        <f t="shared" si="52"/>
        <v>9.18339445700704</v>
      </c>
      <c r="P114" s="184">
        <f t="shared" si="52"/>
        <v>8.8528989517900385</v>
      </c>
      <c r="Q114" s="184">
        <f t="shared" si="52"/>
        <v>8.5342974449719886</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47.324767086353162</v>
      </c>
      <c r="I115" s="184">
        <f t="shared" si="53"/>
        <v>0</v>
      </c>
      <c r="J115" s="184">
        <f t="shared" si="53"/>
        <v>0</v>
      </c>
      <c r="K115" s="184">
        <f t="shared" si="53"/>
        <v>0</v>
      </c>
      <c r="L115" s="184">
        <f t="shared" si="53"/>
        <v>0</v>
      </c>
      <c r="M115" s="184">
        <f t="shared" si="53"/>
        <v>9.8735103913383995</v>
      </c>
      <c r="N115" s="184">
        <f t="shared" si="53"/>
        <v>9.6018025246780212</v>
      </c>
      <c r="O115" s="184">
        <f t="shared" si="53"/>
        <v>9.5230782361540118</v>
      </c>
      <c r="P115" s="184">
        <f t="shared" si="53"/>
        <v>9.3172079056755894</v>
      </c>
      <c r="Q115" s="184">
        <f t="shared" si="53"/>
        <v>9.0091680285071387</v>
      </c>
      <c r="R115" s="184">
        <f t="shared" si="53"/>
        <v>0</v>
      </c>
    </row>
    <row r="116" spans="1:26" s="184" customFormat="1" x14ac:dyDescent="0.25">
      <c r="A116" s="180"/>
      <c r="B116" s="181"/>
      <c r="C116" s="182"/>
      <c r="D116" s="183"/>
      <c r="E116" s="7" t="s">
        <v>267</v>
      </c>
      <c r="G116" s="184" t="str">
        <f t="shared" ref="G116" si="54" xml:space="preserve"> G$99</f>
        <v>£m</v>
      </c>
      <c r="H116" s="244">
        <f>SUM(J116:R116)</f>
        <v>1.3135851372485057</v>
      </c>
      <c r="M116" s="184">
        <f>M115-M114</f>
        <v>-3.6269092621573407E-2</v>
      </c>
      <c r="N116" s="184">
        <f t="shared" ref="N116:Q116" si="55">N115-N114</f>
        <v>7.0990913302406256E-2</v>
      </c>
      <c r="O116" s="184">
        <f t="shared" si="55"/>
        <v>0.33968377914697179</v>
      </c>
      <c r="P116" s="184">
        <f t="shared" si="55"/>
        <v>0.46430895388555093</v>
      </c>
      <c r="Q116" s="184">
        <f t="shared" si="55"/>
        <v>0.4748705835351501</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114.56413067011066</v>
      </c>
      <c r="N128" s="245">
        <f t="shared" si="58"/>
        <v>109.61264011668467</v>
      </c>
      <c r="O128" s="245">
        <f t="shared" si="58"/>
        <v>105.42085470908695</v>
      </c>
      <c r="P128" s="245">
        <f t="shared" si="58"/>
        <v>101.57805360803277</v>
      </c>
      <c r="Q128" s="245">
        <f t="shared" si="58"/>
        <v>97.922423840269587</v>
      </c>
      <c r="R128" s="245">
        <f t="shared" si="58"/>
        <v>94.398354272020711</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162</v>
      </c>
      <c r="G130" s="91" t="s">
        <v>88</v>
      </c>
      <c r="J130" s="246">
        <f>J128*J129</f>
        <v>0</v>
      </c>
      <c r="K130" s="246">
        <f t="shared" ref="K130:L130" si="60">K128*K129</f>
        <v>0</v>
      </c>
      <c r="L130" s="246">
        <f t="shared" si="60"/>
        <v>0</v>
      </c>
      <c r="M130" s="246">
        <f>M128*M129</f>
        <v>2.7791071659787629</v>
      </c>
      <c r="N130" s="246">
        <f t="shared" ref="N130:R130" si="61">N128*N129</f>
        <v>3.2431802872730526</v>
      </c>
      <c r="O130" s="246">
        <f t="shared" si="61"/>
        <v>3.3211452168878863</v>
      </c>
      <c r="P130" s="246">
        <f t="shared" si="61"/>
        <v>3.2504977154571195</v>
      </c>
      <c r="Q130" s="246">
        <f t="shared" si="61"/>
        <v>3.1335175628886081</v>
      </c>
      <c r="R130" s="246">
        <f t="shared" si="61"/>
        <v>2.8319506281606031</v>
      </c>
    </row>
    <row r="132" spans="1:16383" s="205" customFormat="1" x14ac:dyDescent="0.25">
      <c r="A132" s="201"/>
      <c r="B132" s="202"/>
      <c r="C132" s="203"/>
      <c r="D132" s="204"/>
      <c r="E132" s="37" t="str">
        <f xml:space="preserve"> InpR!E$97</f>
        <v>Run-off rate - CPI(H) + RPI wedge - active - BR</v>
      </c>
      <c r="F132" s="205">
        <f xml:space="preserve"> InpR!F$97</f>
        <v>0</v>
      </c>
      <c r="G132" s="223" t="str">
        <f xml:space="preserve"> InpR!G$97</f>
        <v>%</v>
      </c>
      <c r="H132" s="205" t="str">
        <f xml:space="preserve"> InpR!I$97</f>
        <v>PR19 Financial model, 'F_OutputsMaster' sheet row 962, PR19FM2099POST</v>
      </c>
      <c r="I132" s="205" t="e">
        <f xml:space="preserve"> InpR!#REF!</f>
        <v>#REF!</v>
      </c>
      <c r="J132" s="205">
        <f xml:space="preserve"> InpR!J$97</f>
        <v>0</v>
      </c>
      <c r="K132" s="205">
        <f xml:space="preserve"> InpR!K$97</f>
        <v>0</v>
      </c>
      <c r="L132" s="205">
        <f xml:space="preserve"> InpR!L$97</f>
        <v>0</v>
      </c>
      <c r="M132" s="205">
        <f xml:space="preserve"> InpR!M$97</f>
        <v>6.5880214846322976E-2</v>
      </c>
      <c r="N132" s="205">
        <f xml:space="preserve"> InpR!N$97</f>
        <v>6.5880214846322976E-2</v>
      </c>
      <c r="O132" s="205">
        <f xml:space="preserve"> InpR!O$97</f>
        <v>6.5880214846322976E-2</v>
      </c>
      <c r="P132" s="205">
        <f xml:space="preserve"> InpR!P$97</f>
        <v>6.5880214846322976E-2</v>
      </c>
      <c r="Q132" s="205">
        <f xml:space="preserve"> InpR!Q$97</f>
        <v>6.5880214846322976E-2</v>
      </c>
      <c r="R132" s="205">
        <f xml:space="preserve"> InpR!R$97</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114.56413067011066</v>
      </c>
      <c r="N133" s="245">
        <f t="shared" si="62"/>
        <v>109.61264011668467</v>
      </c>
      <c r="O133" s="245">
        <f t="shared" si="62"/>
        <v>105.42085470908695</v>
      </c>
      <c r="P133" s="245">
        <f t="shared" si="62"/>
        <v>101.57805360803277</v>
      </c>
      <c r="Q133" s="245">
        <f t="shared" si="62"/>
        <v>97.922423840269587</v>
      </c>
      <c r="R133" s="245">
        <f t="shared" si="62"/>
        <v>94.398354272020711</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2.7791071659787629</v>
      </c>
      <c r="N134" s="246">
        <f t="shared" si="63"/>
        <v>3.2431802872730526</v>
      </c>
      <c r="O134" s="246">
        <f t="shared" si="63"/>
        <v>3.3211452168878863</v>
      </c>
      <c r="P134" s="246">
        <f t="shared" si="63"/>
        <v>3.2504977154571195</v>
      </c>
      <c r="Q134" s="246">
        <f t="shared" si="63"/>
        <v>3.1335175628886081</v>
      </c>
      <c r="R134" s="246">
        <f t="shared" si="63"/>
        <v>2.8319506281606031</v>
      </c>
      <c r="S134" s="92"/>
      <c r="T134" s="92"/>
      <c r="U134" s="92"/>
      <c r="V134" s="92"/>
      <c r="W134" s="92"/>
      <c r="X134" s="92"/>
      <c r="Y134" s="92"/>
      <c r="Z134" s="92"/>
    </row>
    <row r="135" spans="1:16383" x14ac:dyDescent="0.25">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7.7305977194047459</v>
      </c>
      <c r="N135" s="246">
        <f t="shared" si="64"/>
        <v>7.4349656948707752</v>
      </c>
      <c r="O135" s="246">
        <f t="shared" si="64"/>
        <v>7.1639463179420595</v>
      </c>
      <c r="P135" s="246">
        <f t="shared" si="64"/>
        <v>6.9061274832203088</v>
      </c>
      <c r="Q135" s="246">
        <f t="shared" si="64"/>
        <v>6.6575871311374879</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InpR!$E$90</f>
        <v>RCV - CPI(H) + RPI wedge initial balance - nominal - BR</v>
      </c>
      <c r="F137" s="250">
        <f>InpR!$F$90</f>
        <v>114.56413067011066</v>
      </c>
      <c r="G137" s="249" t="str">
        <f>InpR!$G$90</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R140" si="65" xml:space="preserve"> I143</f>
        <v>0</v>
      </c>
      <c r="K140" s="242">
        <f t="shared" si="65"/>
        <v>0</v>
      </c>
      <c r="L140" s="242">
        <f t="shared" si="65"/>
        <v>0</v>
      </c>
      <c r="M140" s="242">
        <f t="shared" si="65"/>
        <v>114.56413067011066</v>
      </c>
      <c r="N140" s="242">
        <f t="shared" si="65"/>
        <v>109.61264011668467</v>
      </c>
      <c r="O140" s="242">
        <f t="shared" si="65"/>
        <v>105.42085470908695</v>
      </c>
      <c r="P140" s="242">
        <f t="shared" si="65"/>
        <v>101.57805360803277</v>
      </c>
      <c r="Q140" s="242">
        <f t="shared" si="65"/>
        <v>97.922423840269587</v>
      </c>
      <c r="R140" s="242">
        <f t="shared" si="65"/>
        <v>94.398354272020711</v>
      </c>
    </row>
    <row r="141" spans="1:16383" x14ac:dyDescent="0.25">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2.7791071659787629</v>
      </c>
      <c r="N141" s="242">
        <f t="shared" si="66"/>
        <v>3.2431802872730526</v>
      </c>
      <c r="O141" s="242">
        <f t="shared" si="66"/>
        <v>3.3211452168878863</v>
      </c>
      <c r="P141" s="242">
        <f t="shared" si="66"/>
        <v>3.2504977154571195</v>
      </c>
      <c r="Q141" s="242">
        <f t="shared" si="66"/>
        <v>3.1335175628886081</v>
      </c>
      <c r="R141" s="242">
        <f t="shared" si="66"/>
        <v>2.8319506281606031</v>
      </c>
    </row>
    <row r="142" spans="1:16383" x14ac:dyDescent="0.25">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7.7305977194047459</v>
      </c>
      <c r="N142" s="242">
        <f t="shared" si="67"/>
        <v>7.4349656948707752</v>
      </c>
      <c r="O142" s="242">
        <f t="shared" si="67"/>
        <v>7.1639463179420595</v>
      </c>
      <c r="P142" s="242">
        <f t="shared" si="67"/>
        <v>6.9061274832203088</v>
      </c>
      <c r="Q142" s="242">
        <f t="shared" si="67"/>
        <v>6.6575871311374879</v>
      </c>
      <c r="R142" s="242">
        <f t="shared" si="67"/>
        <v>0</v>
      </c>
    </row>
    <row r="143" spans="1:16383" s="138" customFormat="1" x14ac:dyDescent="0.25">
      <c r="A143" s="134"/>
      <c r="B143" s="135"/>
      <c r="C143" s="279"/>
      <c r="D143" s="137"/>
      <c r="E143" s="138" t="s">
        <v>164</v>
      </c>
      <c r="G143" s="163" t="s">
        <v>88</v>
      </c>
      <c r="J143" s="243">
        <f t="shared" ref="J143:R143" si="68" xml:space="preserve"> IF( J138 = 1, $F137, J140 + J141 - J142)</f>
        <v>0</v>
      </c>
      <c r="K143" s="243">
        <f t="shared" si="68"/>
        <v>0</v>
      </c>
      <c r="L143" s="243">
        <f t="shared" si="68"/>
        <v>114.56413067011066</v>
      </c>
      <c r="M143" s="243">
        <f t="shared" si="68"/>
        <v>109.61264011668467</v>
      </c>
      <c r="N143" s="243">
        <f t="shared" si="68"/>
        <v>105.42085470908695</v>
      </c>
      <c r="O143" s="243">
        <f t="shared" si="68"/>
        <v>101.57805360803277</v>
      </c>
      <c r="P143" s="243">
        <f t="shared" si="68"/>
        <v>97.922423840269587</v>
      </c>
      <c r="Q143" s="243">
        <f t="shared" si="68"/>
        <v>94.398354272020711</v>
      </c>
      <c r="R143" s="243">
        <f t="shared" si="68"/>
        <v>97.230304900181309</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114.56413067011066</v>
      </c>
      <c r="N145" s="185">
        <f t="shared" si="69"/>
        <v>109.61264011668467</v>
      </c>
      <c r="O145" s="185">
        <f t="shared" si="69"/>
        <v>105.42085470908695</v>
      </c>
      <c r="P145" s="185">
        <f t="shared" si="69"/>
        <v>101.57805360803277</v>
      </c>
      <c r="Q145" s="185">
        <f t="shared" si="69"/>
        <v>97.922423840269587</v>
      </c>
      <c r="R145" s="185">
        <f t="shared" si="69"/>
        <v>94.398354272020711</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2.7791071659787629</v>
      </c>
      <c r="N146" s="184">
        <f t="shared" si="70"/>
        <v>3.2431802872730526</v>
      </c>
      <c r="O146" s="184">
        <f t="shared" si="70"/>
        <v>3.3211452168878863</v>
      </c>
      <c r="P146" s="184">
        <f t="shared" si="70"/>
        <v>3.2504977154571195</v>
      </c>
      <c r="Q146" s="184">
        <f t="shared" si="70"/>
        <v>3.1335175628886081</v>
      </c>
      <c r="R146" s="184">
        <f t="shared" si="70"/>
        <v>2.8319506281606031</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114.56413067011066</v>
      </c>
      <c r="M147" s="185">
        <f t="shared" si="71"/>
        <v>109.61264011668467</v>
      </c>
      <c r="N147" s="185">
        <f t="shared" si="71"/>
        <v>105.42085470908695</v>
      </c>
      <c r="O147" s="185">
        <f t="shared" si="71"/>
        <v>101.57805360803277</v>
      </c>
      <c r="P147" s="185">
        <f t="shared" si="71"/>
        <v>97.922423840269587</v>
      </c>
      <c r="Q147" s="185">
        <f t="shared" si="71"/>
        <v>94.398354272020711</v>
      </c>
      <c r="R147" s="185">
        <f t="shared" si="71"/>
        <v>97.230304900181309</v>
      </c>
    </row>
    <row r="148" spans="1:26" x14ac:dyDescent="0.25">
      <c r="A148" s="49"/>
      <c r="C148" s="278"/>
      <c r="D148" s="57"/>
      <c r="E148" s="7" t="s">
        <v>317</v>
      </c>
      <c r="F148" s="244"/>
      <c r="G148" s="185" t="s">
        <v>88</v>
      </c>
      <c r="H148" s="244"/>
      <c r="I148" s="244"/>
      <c r="J148" s="185">
        <f t="shared" ref="J148:L148" si="72" xml:space="preserve"> ( (J145+J146) + J147) / 2</f>
        <v>0</v>
      </c>
      <c r="K148" s="185">
        <f t="shared" si="72"/>
        <v>0</v>
      </c>
      <c r="L148" s="185">
        <f t="shared" si="72"/>
        <v>57.282065335055329</v>
      </c>
      <c r="M148" s="185">
        <f xml:space="preserve"> ( (M145+M146) + M147) / 2</f>
        <v>113.47793897638704</v>
      </c>
      <c r="N148" s="185">
        <f t="shared" ref="N148:R148" si="73" xml:space="preserve"> ( (N145+N146) + N147) / 2</f>
        <v>109.13833755652234</v>
      </c>
      <c r="O148" s="185">
        <f t="shared" si="73"/>
        <v>105.16002676700381</v>
      </c>
      <c r="P148" s="185">
        <f t="shared" si="73"/>
        <v>101.37548758187974</v>
      </c>
      <c r="Q148" s="185">
        <f t="shared" si="73"/>
        <v>97.727147837589456</v>
      </c>
      <c r="R148" s="185">
        <f t="shared" si="73"/>
        <v>97.230304900181309</v>
      </c>
    </row>
    <row r="150" spans="1:26" s="205" customFormat="1" x14ac:dyDescent="0.25">
      <c r="A150" s="201"/>
      <c r="B150" s="202"/>
      <c r="C150" s="203"/>
      <c r="D150" s="204"/>
      <c r="E150" s="205" t="str">
        <f xml:space="preserve"> InpR!E$104</f>
        <v>WACC on RCV - CPI(H) + RPI wedge bf and additions - BR</v>
      </c>
      <c r="F150" s="205">
        <f xml:space="preserve"> InpR!F$104</f>
        <v>0</v>
      </c>
      <c r="G150" s="223" t="str">
        <f xml:space="preserve"> InpR!G$104</f>
        <v>%</v>
      </c>
      <c r="H150" s="205" t="str">
        <f xml:space="preserve"> InpR!I$104</f>
        <v>PR19 Financial model, 'Bio Resources' sheet row 980</v>
      </c>
      <c r="I150" s="205" t="e">
        <f xml:space="preserve"> InpR!#REF!</f>
        <v>#REF!</v>
      </c>
      <c r="J150" s="205">
        <f xml:space="preserve"> InpR!J$104</f>
        <v>0</v>
      </c>
      <c r="K150" s="205">
        <f xml:space="preserve"> InpR!K$104</f>
        <v>0</v>
      </c>
      <c r="L150" s="205">
        <f xml:space="preserve"> InpR!L$104</f>
        <v>0</v>
      </c>
      <c r="M150" s="205">
        <f xml:space="preserve"> InpR!M$104</f>
        <v>1.920357193840716E-2</v>
      </c>
      <c r="N150" s="205">
        <f xml:space="preserve"> InpR!N$104</f>
        <v>1.920357193840716E-2</v>
      </c>
      <c r="O150" s="205">
        <f xml:space="preserve"> InpR!O$104</f>
        <v>1.920357193840716E-2</v>
      </c>
      <c r="P150" s="205">
        <f xml:space="preserve"> InpR!P$104</f>
        <v>1.920357193840716E-2</v>
      </c>
      <c r="Q150" s="205">
        <f xml:space="preserve"> InpR!Q$104</f>
        <v>1.920357193840716E-2</v>
      </c>
      <c r="R150" s="205">
        <f xml:space="preserve"> InpR!R$104</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57.282065335055329</v>
      </c>
      <c r="M152" s="246">
        <f t="shared" si="74"/>
        <v>113.47793897638704</v>
      </c>
      <c r="N152" s="246">
        <f t="shared" si="74"/>
        <v>109.13833755652234</v>
      </c>
      <c r="O152" s="246">
        <f t="shared" si="74"/>
        <v>105.16002676700381</v>
      </c>
      <c r="P152" s="246">
        <f t="shared" si="74"/>
        <v>101.37548758187974</v>
      </c>
      <c r="Q152" s="246">
        <f t="shared" si="74"/>
        <v>97.727147837589456</v>
      </c>
      <c r="R152" s="246">
        <f t="shared" si="74"/>
        <v>97.230304900181309</v>
      </c>
    </row>
    <row r="153" spans="1:26" x14ac:dyDescent="0.25">
      <c r="C153" s="278"/>
      <c r="E153" s="7" t="s">
        <v>320</v>
      </c>
      <c r="F153" s="244"/>
      <c r="G153" s="184" t="s">
        <v>88</v>
      </c>
      <c r="H153" s="244"/>
      <c r="I153" s="244"/>
      <c r="J153" s="246">
        <f t="shared" ref="J153:K153" si="75">J150*J151*J152</f>
        <v>0</v>
      </c>
      <c r="K153" s="246">
        <f t="shared" si="75"/>
        <v>0</v>
      </c>
      <c r="L153" s="246">
        <f>L150*L151*L152</f>
        <v>0</v>
      </c>
      <c r="M153" s="246">
        <f t="shared" ref="M153:R153" si="76">M150*M151*M152</f>
        <v>2.1791817645552261</v>
      </c>
      <c r="N153" s="246">
        <f t="shared" si="76"/>
        <v>2.0958459165048406</v>
      </c>
      <c r="O153" s="246">
        <f t="shared" si="76"/>
        <v>2.0194481390649801</v>
      </c>
      <c r="P153" s="246">
        <f t="shared" si="76"/>
        <v>1.9467714685697293</v>
      </c>
      <c r="Q153" s="246">
        <f t="shared" si="76"/>
        <v>1.8767103138345009</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7.7305977194047459</v>
      </c>
      <c r="N155" s="184">
        <f t="shared" si="77"/>
        <v>7.4349656948707752</v>
      </c>
      <c r="O155" s="184">
        <f t="shared" si="77"/>
        <v>7.1639463179420595</v>
      </c>
      <c r="P155" s="184">
        <f t="shared" si="77"/>
        <v>6.9061274832203088</v>
      </c>
      <c r="Q155" s="184">
        <f t="shared" si="77"/>
        <v>6.6575871311374879</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2.1791817645552261</v>
      </c>
      <c r="N156" s="184">
        <f t="shared" si="78"/>
        <v>2.0958459165048406</v>
      </c>
      <c r="O156" s="184">
        <f t="shared" si="78"/>
        <v>2.0194481390649801</v>
      </c>
      <c r="P156" s="184">
        <f t="shared" si="78"/>
        <v>1.9467714685697293</v>
      </c>
      <c r="Q156" s="184">
        <f t="shared" si="78"/>
        <v>1.8767103138345009</v>
      </c>
      <c r="R156" s="184">
        <f t="shared" si="78"/>
        <v>0</v>
      </c>
    </row>
    <row r="157" spans="1:26" x14ac:dyDescent="0.25">
      <c r="C157" s="278"/>
      <c r="E157" s="7" t="s">
        <v>321</v>
      </c>
      <c r="F157" s="244"/>
      <c r="G157" s="184" t="str">
        <f t="shared" ref="G157" si="79">G$155</f>
        <v>£m</v>
      </c>
      <c r="H157" s="244">
        <f>SUM(J157:R157)</f>
        <v>46.01118194910466</v>
      </c>
      <c r="I157" s="244"/>
      <c r="J157" s="244">
        <f t="shared" ref="J157:R157" si="80">SUM(J155:J156)</f>
        <v>0</v>
      </c>
      <c r="K157" s="244">
        <f t="shared" si="80"/>
        <v>0</v>
      </c>
      <c r="L157" s="244">
        <f>SUM(L155:L156)</f>
        <v>0</v>
      </c>
      <c r="M157" s="244">
        <f t="shared" si="80"/>
        <v>9.9097794839599729</v>
      </c>
      <c r="N157" s="244">
        <f t="shared" si="80"/>
        <v>9.5308116113756149</v>
      </c>
      <c r="O157" s="244">
        <f t="shared" si="80"/>
        <v>9.18339445700704</v>
      </c>
      <c r="P157" s="244">
        <f t="shared" si="80"/>
        <v>8.8528989517900385</v>
      </c>
      <c r="Q157" s="244">
        <f t="shared" si="80"/>
        <v>8.5342974449719886</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46.01118194910466</v>
      </c>
      <c r="I159" s="184">
        <f t="shared" si="81"/>
        <v>0</v>
      </c>
      <c r="J159" s="184">
        <f t="shared" si="81"/>
        <v>0</v>
      </c>
      <c r="K159" s="184">
        <f t="shared" si="81"/>
        <v>0</v>
      </c>
      <c r="L159" s="184">
        <f t="shared" si="81"/>
        <v>0</v>
      </c>
      <c r="M159" s="184">
        <f t="shared" si="81"/>
        <v>9.9097794839599729</v>
      </c>
      <c r="N159" s="184">
        <f t="shared" si="81"/>
        <v>9.5308116113756149</v>
      </c>
      <c r="O159" s="184">
        <f t="shared" si="81"/>
        <v>9.18339445700704</v>
      </c>
      <c r="P159" s="184">
        <f t="shared" si="81"/>
        <v>8.8528989517900385</v>
      </c>
      <c r="Q159" s="184">
        <f t="shared" si="81"/>
        <v>8.5342974449719886</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47.324767086353162</v>
      </c>
      <c r="I160" s="184">
        <f t="shared" si="82"/>
        <v>0</v>
      </c>
      <c r="J160" s="184">
        <f t="shared" si="82"/>
        <v>0</v>
      </c>
      <c r="K160" s="184">
        <f t="shared" si="82"/>
        <v>0</v>
      </c>
      <c r="L160" s="184">
        <f t="shared" si="82"/>
        <v>0</v>
      </c>
      <c r="M160" s="184">
        <f t="shared" si="82"/>
        <v>9.8735103913383995</v>
      </c>
      <c r="N160" s="184">
        <f t="shared" si="82"/>
        <v>9.6018025246780212</v>
      </c>
      <c r="O160" s="184">
        <f t="shared" si="82"/>
        <v>9.5230782361540118</v>
      </c>
      <c r="P160" s="184">
        <f t="shared" si="82"/>
        <v>9.3172079056755894</v>
      </c>
      <c r="Q160" s="184">
        <f t="shared" si="82"/>
        <v>9.0091680285071387</v>
      </c>
      <c r="R160" s="184">
        <f t="shared" si="82"/>
        <v>0</v>
      </c>
    </row>
    <row r="161" spans="1:16383" s="185" customFormat="1" x14ac:dyDescent="0.25">
      <c r="A161" s="252"/>
      <c r="B161" s="181"/>
      <c r="C161" s="182"/>
      <c r="D161" s="253"/>
      <c r="E161" s="7" t="s">
        <v>268</v>
      </c>
      <c r="G161" s="185" t="str">
        <f t="shared" ref="G161" si="83" xml:space="preserve"> G$153</f>
        <v>£m</v>
      </c>
      <c r="H161" s="185">
        <f xml:space="preserve"> SUM(J161:R161)</f>
        <v>1.3135851372485057</v>
      </c>
      <c r="J161" s="185">
        <f t="shared" ref="J161:K161" si="84">J160-J159</f>
        <v>0</v>
      </c>
      <c r="K161" s="185">
        <f t="shared" si="84"/>
        <v>0</v>
      </c>
      <c r="L161" s="185">
        <f>L160-L159</f>
        <v>0</v>
      </c>
      <c r="M161" s="185">
        <f>M160-M159</f>
        <v>-3.6269092621573407E-2</v>
      </c>
      <c r="N161" s="185">
        <f t="shared" ref="N161:R161" si="85">N160-N159</f>
        <v>7.0990913302406256E-2</v>
      </c>
      <c r="O161" s="185">
        <f t="shared" si="85"/>
        <v>0.33968377914697179</v>
      </c>
      <c r="P161" s="185">
        <f t="shared" si="85"/>
        <v>0.46430895388555093</v>
      </c>
      <c r="Q161" s="185">
        <f t="shared" si="85"/>
        <v>0.4748705835351501</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1.3135851372485057</v>
      </c>
      <c r="I163" s="248">
        <f t="shared" si="86"/>
        <v>0</v>
      </c>
      <c r="J163" s="248">
        <f t="shared" si="86"/>
        <v>0</v>
      </c>
      <c r="K163" s="248">
        <f t="shared" si="86"/>
        <v>0</v>
      </c>
      <c r="L163" s="248">
        <f t="shared" si="86"/>
        <v>0</v>
      </c>
      <c r="M163" s="248">
        <f t="shared" si="86"/>
        <v>-3.6269092621573407E-2</v>
      </c>
      <c r="N163" s="248">
        <f t="shared" si="86"/>
        <v>7.0990913302406256E-2</v>
      </c>
      <c r="O163" s="248">
        <f t="shared" si="86"/>
        <v>0.33968377914697179</v>
      </c>
      <c r="P163" s="248">
        <f t="shared" si="86"/>
        <v>0.46430895388555093</v>
      </c>
      <c r="Q163" s="248">
        <f t="shared" si="86"/>
        <v>0.4748705835351501</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1.3135851372485057</v>
      </c>
      <c r="I164" s="248">
        <f t="shared" si="87"/>
        <v>0</v>
      </c>
      <c r="J164" s="248">
        <f t="shared" si="87"/>
        <v>0</v>
      </c>
      <c r="K164" s="248">
        <f t="shared" si="87"/>
        <v>0</v>
      </c>
      <c r="L164" s="248">
        <f t="shared" si="87"/>
        <v>0</v>
      </c>
      <c r="M164" s="248">
        <f t="shared" si="87"/>
        <v>-3.6269092621573407E-2</v>
      </c>
      <c r="N164" s="248">
        <f t="shared" si="87"/>
        <v>7.0990913302406256E-2</v>
      </c>
      <c r="O164" s="248">
        <f t="shared" si="87"/>
        <v>0.33968377914697179</v>
      </c>
      <c r="P164" s="248">
        <f t="shared" si="87"/>
        <v>0.46430895388555093</v>
      </c>
      <c r="Q164" s="248">
        <f t="shared" si="87"/>
        <v>0.4748705835351501</v>
      </c>
      <c r="R164" s="248">
        <f t="shared" si="87"/>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278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57.282065335055329</v>
      </c>
      <c r="M169" s="185">
        <f t="shared" si="90"/>
        <v>113.47793897638704</v>
      </c>
      <c r="N169" s="184">
        <f t="shared" si="90"/>
        <v>109.13833755652234</v>
      </c>
      <c r="O169" s="184">
        <f t="shared" si="90"/>
        <v>105.16002676700381</v>
      </c>
      <c r="P169" s="184">
        <f t="shared" si="90"/>
        <v>101.37548758187974</v>
      </c>
      <c r="Q169" s="184">
        <f t="shared" si="90"/>
        <v>97.727147837589456</v>
      </c>
      <c r="R169" s="184">
        <f t="shared" si="90"/>
        <v>97.230304900181309</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57.282065335055329</v>
      </c>
      <c r="M170" s="185">
        <f t="shared" si="91"/>
        <v>113.06261773882554</v>
      </c>
      <c r="N170" s="184">
        <f t="shared" si="91"/>
        <v>109.95126205606823</v>
      </c>
      <c r="O170" s="184">
        <f t="shared" si="91"/>
        <v>109.04978185425881</v>
      </c>
      <c r="P170" s="184">
        <f t="shared" si="91"/>
        <v>106.6923388014752</v>
      </c>
      <c r="Q170" s="184">
        <f t="shared" si="91"/>
        <v>103.16494140174549</v>
      </c>
      <c r="R170" s="184">
        <f t="shared" si="91"/>
        <v>101.64394357584396</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54.994148179562252</v>
      </c>
      <c r="M172" s="184">
        <f t="shared" si="92"/>
        <v>106.8267256380512</v>
      </c>
      <c r="N172" s="184">
        <f t="shared" si="92"/>
        <v>100.72279409586922</v>
      </c>
      <c r="O172" s="184">
        <f t="shared" si="92"/>
        <v>95.078253936272546</v>
      </c>
      <c r="P172" s="184">
        <f t="shared" si="92"/>
        <v>89.771343232330338</v>
      </c>
      <c r="Q172" s="184">
        <f t="shared" si="92"/>
        <v>84.760644333439572</v>
      </c>
      <c r="R172" s="184">
        <f t="shared" si="92"/>
        <v>82.676198872662056</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54.994148179562252</v>
      </c>
      <c r="M173" s="184">
        <f t="shared" si="92"/>
        <v>106.43574737128985</v>
      </c>
      <c r="N173" s="184">
        <f t="shared" si="92"/>
        <v>101.47303483451748</v>
      </c>
      <c r="O173" s="184">
        <f t="shared" si="92"/>
        <v>98.59509520482176</v>
      </c>
      <c r="P173" s="184">
        <f t="shared" si="92"/>
        <v>94.47959063152561</v>
      </c>
      <c r="Q173" s="184">
        <f t="shared" si="92"/>
        <v>89.476947801295552</v>
      </c>
      <c r="R173" s="184">
        <f t="shared" si="92"/>
        <v>86.42917351648093</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-0.39097826676135128</v>
      </c>
      <c r="N174" s="185">
        <f t="shared" si="93"/>
        <v>0.7502407386482588</v>
      </c>
      <c r="O174" s="185">
        <f t="shared" si="93"/>
        <v>3.5168412685492143</v>
      </c>
      <c r="P174" s="185">
        <f t="shared" si="93"/>
        <v>4.7082473991952725</v>
      </c>
      <c r="Q174" s="185">
        <f t="shared" si="93"/>
        <v>4.7163034678559796</v>
      </c>
      <c r="R174" s="185">
        <f t="shared" si="93"/>
        <v>3.7529746438188738</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-0.39097826676135128</v>
      </c>
      <c r="N176" s="185">
        <f t="shared" si="94"/>
        <v>0.7502407386482588</v>
      </c>
      <c r="O176" s="185">
        <f t="shared" si="94"/>
        <v>3.5168412685492143</v>
      </c>
      <c r="P176" s="185">
        <f t="shared" si="94"/>
        <v>4.7082473991952725</v>
      </c>
      <c r="Q176" s="185">
        <f t="shared" si="94"/>
        <v>4.7163034678559796</v>
      </c>
      <c r="R176" s="185">
        <f t="shared" si="94"/>
        <v>3.7529746438188738</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362</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4.7163034678559796</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7.7305977194047459</v>
      </c>
      <c r="N182" s="184">
        <f t="shared" si="96"/>
        <v>7.4349656948707752</v>
      </c>
      <c r="O182" s="184">
        <f t="shared" si="96"/>
        <v>7.1639463179420595</v>
      </c>
      <c r="P182" s="184">
        <f t="shared" si="96"/>
        <v>6.9061274832203088</v>
      </c>
      <c r="Q182" s="184">
        <f t="shared" si="96"/>
        <v>6.6575871311374879</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2.1791817645552261</v>
      </c>
      <c r="N183" s="184">
        <f t="shared" si="97"/>
        <v>2.0958459165048406</v>
      </c>
      <c r="O183" s="184">
        <f t="shared" si="97"/>
        <v>2.0194481390649801</v>
      </c>
      <c r="P183" s="184">
        <f t="shared" si="97"/>
        <v>1.9467714685697293</v>
      </c>
      <c r="Q183" s="184">
        <f t="shared" si="97"/>
        <v>1.8767103138345009</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46.01118194910466</v>
      </c>
      <c r="I184" s="184">
        <f t="shared" si="98"/>
        <v>0</v>
      </c>
      <c r="J184" s="184">
        <f t="shared" si="98"/>
        <v>0</v>
      </c>
      <c r="K184" s="184">
        <f t="shared" si="98"/>
        <v>0</v>
      </c>
      <c r="L184" s="184">
        <f t="shared" si="98"/>
        <v>0</v>
      </c>
      <c r="M184" s="184">
        <f t="shared" si="98"/>
        <v>9.9097794839599729</v>
      </c>
      <c r="N184" s="184">
        <f t="shared" si="98"/>
        <v>9.5308116113756149</v>
      </c>
      <c r="O184" s="184">
        <f t="shared" si="98"/>
        <v>9.18339445700704</v>
      </c>
      <c r="P184" s="184">
        <f t="shared" si="98"/>
        <v>8.8528989517900385</v>
      </c>
      <c r="Q184" s="184">
        <f t="shared" si="98"/>
        <v>8.5342974449719886</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7.702304278046233</v>
      </c>
      <c r="N185" s="184">
        <f t="shared" si="99"/>
        <v>7.4903455540656578</v>
      </c>
      <c r="O185" s="184">
        <f t="shared" si="99"/>
        <v>7.4289329054481446</v>
      </c>
      <c r="P185" s="184">
        <f t="shared" si="99"/>
        <v>7.2683339022245512</v>
      </c>
      <c r="Q185" s="184">
        <f t="shared" si="99"/>
        <v>7.0280326547771592</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2.1712061132921656</v>
      </c>
      <c r="N186" s="184">
        <f t="shared" si="100"/>
        <v>2.1114569706123638</v>
      </c>
      <c r="O186" s="184">
        <f t="shared" si="100"/>
        <v>2.0941453307058668</v>
      </c>
      <c r="P186" s="184">
        <f t="shared" si="100"/>
        <v>2.0488740034510387</v>
      </c>
      <c r="Q186" s="184">
        <f t="shared" si="100"/>
        <v>1.9811353737299788</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47.324767086353162</v>
      </c>
      <c r="I187" s="184">
        <f t="shared" si="101"/>
        <v>0</v>
      </c>
      <c r="J187" s="184">
        <f t="shared" si="101"/>
        <v>0</v>
      </c>
      <c r="K187" s="184">
        <f t="shared" si="101"/>
        <v>0</v>
      </c>
      <c r="L187" s="184">
        <f t="shared" si="101"/>
        <v>0</v>
      </c>
      <c r="M187" s="184">
        <f t="shared" si="101"/>
        <v>9.8735103913383995</v>
      </c>
      <c r="N187" s="184">
        <f t="shared" si="101"/>
        <v>9.6018025246780212</v>
      </c>
      <c r="O187" s="184">
        <f t="shared" si="101"/>
        <v>9.5230782361540118</v>
      </c>
      <c r="P187" s="184">
        <f t="shared" si="101"/>
        <v>9.3172079056755894</v>
      </c>
      <c r="Q187" s="184">
        <f t="shared" si="101"/>
        <v>9.0091680285071387</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32.506143443176327</v>
      </c>
      <c r="I189" s="184"/>
      <c r="J189" s="184">
        <f t="shared" ref="J189:R194" si="105" xml:space="preserve"> IF(J$188 = 0, 0, J182 / J$188)</f>
        <v>0</v>
      </c>
      <c r="K189" s="184">
        <f t="shared" si="105"/>
        <v>0</v>
      </c>
      <c r="L189" s="184">
        <f t="shared" si="105"/>
        <v>0</v>
      </c>
      <c r="M189" s="185">
        <f t="shared" si="105"/>
        <v>7.2774889025860627</v>
      </c>
      <c r="N189" s="184">
        <f t="shared" si="105"/>
        <v>6.8616632391572123</v>
      </c>
      <c r="O189" s="184">
        <f t="shared" si="105"/>
        <v>6.4771332619785955</v>
      </c>
      <c r="P189" s="184">
        <f t="shared" si="105"/>
        <v>6.1156040329932413</v>
      </c>
      <c r="Q189" s="184">
        <f t="shared" si="105"/>
        <v>5.7742540064612209</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9.1631718010079979</v>
      </c>
      <c r="I190" s="184"/>
      <c r="J190" s="184">
        <f t="shared" si="105"/>
        <v>0</v>
      </c>
      <c r="K190" s="184">
        <f t="shared" si="105"/>
        <v>0</v>
      </c>
      <c r="L190" s="184">
        <f t="shared" si="105"/>
        <v>0</v>
      </c>
      <c r="M190" s="185">
        <f t="shared" si="105"/>
        <v>2.0514547107348005</v>
      </c>
      <c r="N190" s="184">
        <f xml:space="preserve"> IF(N$188 = 0, 0, N183 / N$188)</f>
        <v>1.9342374222573964</v>
      </c>
      <c r="O190" s="184">
        <f t="shared" si="105"/>
        <v>1.8258420892433533</v>
      </c>
      <c r="P190" s="184">
        <f t="shared" si="105"/>
        <v>1.7239304477694963</v>
      </c>
      <c r="Q190" s="184">
        <f t="shared" si="105"/>
        <v>1.6277071310029503</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41.669315244184332</v>
      </c>
      <c r="I191" s="184"/>
      <c r="J191" s="184">
        <f t="shared" si="105"/>
        <v>0</v>
      </c>
      <c r="K191" s="184">
        <f t="shared" si="105"/>
        <v>0</v>
      </c>
      <c r="L191" s="184">
        <f t="shared" si="105"/>
        <v>0</v>
      </c>
      <c r="M191" s="185">
        <f t="shared" si="105"/>
        <v>9.328943613320865</v>
      </c>
      <c r="N191" s="184">
        <f t="shared" si="105"/>
        <v>8.795900661414608</v>
      </c>
      <c r="O191" s="184">
        <f t="shared" si="105"/>
        <v>8.3029753512219493</v>
      </c>
      <c r="P191" s="184">
        <f t="shared" si="105"/>
        <v>7.8395344807627385</v>
      </c>
      <c r="Q191" s="184">
        <f t="shared" si="105"/>
        <v>7.4019611374641707</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33.412240355957131</v>
      </c>
      <c r="I192" s="184"/>
      <c r="J192" s="184">
        <f t="shared" si="105"/>
        <v>0</v>
      </c>
      <c r="K192" s="184">
        <f t="shared" si="105"/>
        <v>0</v>
      </c>
      <c r="L192" s="184">
        <f t="shared" si="105"/>
        <v>0</v>
      </c>
      <c r="M192" s="185">
        <f t="shared" si="105"/>
        <v>7.2508538074774789</v>
      </c>
      <c r="N192" s="184">
        <f t="shared" si="105"/>
        <v>6.912772815128676</v>
      </c>
      <c r="O192" s="184">
        <f t="shared" si="105"/>
        <v>6.7167153810705917</v>
      </c>
      <c r="P192" s="184">
        <f t="shared" si="105"/>
        <v>6.4363497826511216</v>
      </c>
      <c r="Q192" s="184">
        <f t="shared" si="105"/>
        <v>6.0955485696292628</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9.4185918785907887</v>
      </c>
      <c r="I193" s="184"/>
      <c r="J193" s="184">
        <f t="shared" si="105"/>
        <v>0</v>
      </c>
      <c r="K193" s="184">
        <f t="shared" si="105"/>
        <v>0</v>
      </c>
      <c r="L193" s="184">
        <f t="shared" si="105"/>
        <v>0</v>
      </c>
      <c r="M193" s="185">
        <f t="shared" si="105"/>
        <v>2.0439465314626952</v>
      </c>
      <c r="N193" s="184">
        <f t="shared" si="105"/>
        <v>1.9486447242531519</v>
      </c>
      <c r="O193" s="184">
        <f t="shared" si="105"/>
        <v>1.8933780035398975</v>
      </c>
      <c r="P193" s="184">
        <f t="shared" si="105"/>
        <v>1.8143456154037614</v>
      </c>
      <c r="Q193" s="184">
        <f t="shared" si="105"/>
        <v>1.7182770039312816</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42.83083223454792</v>
      </c>
      <c r="I194" s="184"/>
      <c r="J194" s="184">
        <f t="shared" si="105"/>
        <v>0</v>
      </c>
      <c r="K194" s="184">
        <f t="shared" si="105"/>
        <v>0</v>
      </c>
      <c r="L194" s="184">
        <f t="shared" si="105"/>
        <v>0</v>
      </c>
      <c r="M194" s="185">
        <f t="shared" si="105"/>
        <v>9.2948003389401759</v>
      </c>
      <c r="N194" s="184">
        <f t="shared" si="105"/>
        <v>8.8614175393818275</v>
      </c>
      <c r="O194" s="184">
        <f t="shared" si="105"/>
        <v>8.6100933846104901</v>
      </c>
      <c r="P194" s="184">
        <f t="shared" si="105"/>
        <v>8.2506953980548818</v>
      </c>
      <c r="Q194" s="184">
        <f t="shared" si="105"/>
        <v>7.8138255735605453</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32.506143443176327</v>
      </c>
      <c r="I196" s="247">
        <f t="shared" si="106"/>
        <v>0</v>
      </c>
      <c r="J196" s="184">
        <f t="shared" si="106"/>
        <v>0</v>
      </c>
      <c r="K196" s="184">
        <f t="shared" si="106"/>
        <v>0</v>
      </c>
      <c r="L196" s="184">
        <f t="shared" si="106"/>
        <v>0</v>
      </c>
      <c r="M196" s="185">
        <f t="shared" si="106"/>
        <v>7.2774889025860627</v>
      </c>
      <c r="N196" s="184">
        <f t="shared" si="106"/>
        <v>6.8616632391572123</v>
      </c>
      <c r="O196" s="184">
        <f t="shared" si="106"/>
        <v>6.4771332619785955</v>
      </c>
      <c r="P196" s="184">
        <f t="shared" si="106"/>
        <v>6.1156040329932413</v>
      </c>
      <c r="Q196" s="184">
        <f t="shared" si="106"/>
        <v>5.7742540064612209</v>
      </c>
      <c r="R196" s="184">
        <f t="shared" si="106"/>
        <v>0</v>
      </c>
    </row>
    <row r="197" spans="1:26" x14ac:dyDescent="0.25">
      <c r="E197" s="7" t="str">
        <f>E$192</f>
        <v>RCV run-off company should have received- real</v>
      </c>
      <c r="F197" s="184">
        <f t="shared" ref="F197:R197" si="107">F$192</f>
        <v>0</v>
      </c>
      <c r="G197" s="7" t="str">
        <f t="shared" si="107"/>
        <v>£m</v>
      </c>
      <c r="H197" s="247">
        <f t="shared" si="107"/>
        <v>33.412240355957131</v>
      </c>
      <c r="I197" s="247">
        <f t="shared" si="107"/>
        <v>0</v>
      </c>
      <c r="J197" s="184">
        <f t="shared" si="107"/>
        <v>0</v>
      </c>
      <c r="K197" s="184">
        <f t="shared" si="107"/>
        <v>0</v>
      </c>
      <c r="L197" s="184">
        <f t="shared" si="107"/>
        <v>0</v>
      </c>
      <c r="M197" s="185">
        <f t="shared" si="107"/>
        <v>7.2508538074774789</v>
      </c>
      <c r="N197" s="184">
        <f t="shared" si="107"/>
        <v>6.912772815128676</v>
      </c>
      <c r="O197" s="184">
        <f t="shared" si="107"/>
        <v>6.7167153810705917</v>
      </c>
      <c r="P197" s="184">
        <f t="shared" si="107"/>
        <v>6.4363497826511216</v>
      </c>
      <c r="Q197" s="184">
        <f t="shared" si="107"/>
        <v>6.0955485696292628</v>
      </c>
      <c r="R197" s="184">
        <f t="shared" si="107"/>
        <v>0</v>
      </c>
    </row>
    <row r="198" spans="1:26" x14ac:dyDescent="0.25">
      <c r="C198" s="278"/>
      <c r="E198" s="7" t="s">
        <v>269</v>
      </c>
      <c r="G198" s="7" t="s">
        <v>88</v>
      </c>
      <c r="H198" s="185">
        <f xml:space="preserve"> SUM(J198:R198)</f>
        <v>0.90609691278079829</v>
      </c>
      <c r="I198" s="185"/>
      <c r="J198" s="184">
        <f t="shared" ref="J198:K198" si="108">J197-J196</f>
        <v>0</v>
      </c>
      <c r="K198" s="184">
        <f t="shared" si="108"/>
        <v>0</v>
      </c>
      <c r="L198" s="184">
        <f>L197-L196</f>
        <v>0</v>
      </c>
      <c r="M198" s="185">
        <f>M197-M196</f>
        <v>-2.6635095108583862E-2</v>
      </c>
      <c r="N198" s="184">
        <f t="shared" ref="N198:R198" si="109">N197-N196</f>
        <v>5.1109575971463705E-2</v>
      </c>
      <c r="O198" s="184">
        <f t="shared" si="109"/>
        <v>0.23958211909199623</v>
      </c>
      <c r="P198" s="184">
        <f t="shared" si="109"/>
        <v>0.32074574965788027</v>
      </c>
      <c r="Q198" s="184">
        <f t="shared" si="109"/>
        <v>0.32129456316804195</v>
      </c>
      <c r="R198" s="184">
        <f t="shared" si="109"/>
        <v>0</v>
      </c>
    </row>
    <row r="200" spans="1:26" x14ac:dyDescent="0.25">
      <c r="E200" s="7" t="str">
        <f>E$190</f>
        <v>True up Nominal return- real</v>
      </c>
      <c r="F200" s="184">
        <f t="shared" ref="F200:R200" si="110">F$190</f>
        <v>0</v>
      </c>
      <c r="G200" s="7" t="str">
        <f t="shared" si="110"/>
        <v>£m</v>
      </c>
      <c r="H200" s="247">
        <f t="shared" si="110"/>
        <v>9.1631718010079979</v>
      </c>
      <c r="I200" s="247">
        <f t="shared" si="110"/>
        <v>0</v>
      </c>
      <c r="J200" s="184">
        <f t="shared" si="110"/>
        <v>0</v>
      </c>
      <c r="K200" s="184">
        <f t="shared" si="110"/>
        <v>0</v>
      </c>
      <c r="L200" s="184">
        <f t="shared" si="110"/>
        <v>0</v>
      </c>
      <c r="M200" s="185">
        <f t="shared" si="110"/>
        <v>2.0514547107348005</v>
      </c>
      <c r="N200" s="184">
        <f t="shared" si="110"/>
        <v>1.9342374222573964</v>
      </c>
      <c r="O200" s="184">
        <f t="shared" si="110"/>
        <v>1.8258420892433533</v>
      </c>
      <c r="P200" s="184">
        <f t="shared" si="110"/>
        <v>1.7239304477694963</v>
      </c>
      <c r="Q200" s="184">
        <f t="shared" si="110"/>
        <v>1.6277071310029503</v>
      </c>
      <c r="R200" s="184">
        <f t="shared" si="110"/>
        <v>0</v>
      </c>
    </row>
    <row r="201" spans="1:26" x14ac:dyDescent="0.25">
      <c r="E201" s="7" t="str">
        <f>E$193</f>
        <v>Nominal return company should have received- real</v>
      </c>
      <c r="F201" s="184">
        <f t="shared" ref="F201:R201" si="111">F$193</f>
        <v>0</v>
      </c>
      <c r="G201" s="7" t="str">
        <f t="shared" si="111"/>
        <v>£m</v>
      </c>
      <c r="H201" s="247">
        <f t="shared" si="111"/>
        <v>9.4185918785907887</v>
      </c>
      <c r="I201" s="247">
        <f t="shared" si="111"/>
        <v>0</v>
      </c>
      <c r="J201" s="184">
        <f t="shared" si="111"/>
        <v>0</v>
      </c>
      <c r="K201" s="184">
        <f t="shared" si="111"/>
        <v>0</v>
      </c>
      <c r="L201" s="184">
        <f t="shared" si="111"/>
        <v>0</v>
      </c>
      <c r="M201" s="185">
        <f t="shared" si="111"/>
        <v>2.0439465314626952</v>
      </c>
      <c r="N201" s="184">
        <f t="shared" si="111"/>
        <v>1.9486447242531519</v>
      </c>
      <c r="O201" s="184">
        <f t="shared" si="111"/>
        <v>1.8933780035398975</v>
      </c>
      <c r="P201" s="184">
        <f t="shared" si="111"/>
        <v>1.8143456154037614</v>
      </c>
      <c r="Q201" s="184">
        <f t="shared" si="111"/>
        <v>1.7182770039312816</v>
      </c>
      <c r="R201" s="184">
        <f t="shared" si="111"/>
        <v>0</v>
      </c>
    </row>
    <row r="202" spans="1:26" x14ac:dyDescent="0.25">
      <c r="C202" s="278"/>
      <c r="E202" s="7" t="s">
        <v>276</v>
      </c>
      <c r="G202" s="7" t="s">
        <v>88</v>
      </c>
      <c r="H202" s="185">
        <f xml:space="preserve"> SUM(J202:R202)</f>
        <v>0.25542007758279084</v>
      </c>
      <c r="I202" s="185"/>
      <c r="J202" s="184">
        <f t="shared" ref="J202:K202" si="112">J201-J200</f>
        <v>0</v>
      </c>
      <c r="K202" s="184">
        <f t="shared" si="112"/>
        <v>0</v>
      </c>
      <c r="L202" s="184">
        <f>L201-L200</f>
        <v>0</v>
      </c>
      <c r="M202" s="185">
        <f>M201-M200</f>
        <v>-7.508179272105231E-3</v>
      </c>
      <c r="N202" s="184">
        <f t="shared" ref="N202:R202" si="113">N201-N200</f>
        <v>1.4407301995755573E-2</v>
      </c>
      <c r="O202" s="184">
        <f>O201-O200</f>
        <v>6.7535914296544153E-2</v>
      </c>
      <c r="P202" s="184">
        <f t="shared" si="113"/>
        <v>9.0415167634265048E-2</v>
      </c>
      <c r="Q202" s="184">
        <f t="shared" si="113"/>
        <v>9.0569872928331296E-2</v>
      </c>
      <c r="R202" s="184">
        <f t="shared" si="113"/>
        <v>0</v>
      </c>
    </row>
    <row r="204" spans="1:26" x14ac:dyDescent="0.25">
      <c r="E204" s="7" t="str">
        <f>E$191</f>
        <v>Total True up Nominal revenue to company- real</v>
      </c>
      <c r="F204" s="184">
        <f t="shared" ref="F204:R204" si="114">F$191</f>
        <v>0</v>
      </c>
      <c r="G204" s="7" t="str">
        <f t="shared" si="114"/>
        <v>£m</v>
      </c>
      <c r="H204" s="247">
        <f t="shared" si="114"/>
        <v>41.669315244184332</v>
      </c>
      <c r="I204" s="247"/>
      <c r="J204" s="184">
        <f t="shared" si="114"/>
        <v>0</v>
      </c>
      <c r="K204" s="184">
        <f t="shared" si="114"/>
        <v>0</v>
      </c>
      <c r="L204" s="184">
        <f t="shared" si="114"/>
        <v>0</v>
      </c>
      <c r="M204" s="185">
        <f t="shared" si="114"/>
        <v>9.328943613320865</v>
      </c>
      <c r="N204" s="184">
        <f t="shared" si="114"/>
        <v>8.795900661414608</v>
      </c>
      <c r="O204" s="184">
        <f t="shared" si="114"/>
        <v>8.3029753512219493</v>
      </c>
      <c r="P204" s="184">
        <f t="shared" si="114"/>
        <v>7.8395344807627385</v>
      </c>
      <c r="Q204" s="184">
        <f t="shared" si="114"/>
        <v>7.4019611374641707</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42.83083223454792</v>
      </c>
      <c r="I205" s="247"/>
      <c r="J205" s="184">
        <f t="shared" si="115"/>
        <v>0</v>
      </c>
      <c r="K205" s="184">
        <f t="shared" si="115"/>
        <v>0</v>
      </c>
      <c r="L205" s="184">
        <f t="shared" si="115"/>
        <v>0</v>
      </c>
      <c r="M205" s="185">
        <f t="shared" si="115"/>
        <v>9.2948003389401759</v>
      </c>
      <c r="N205" s="184">
        <f t="shared" si="115"/>
        <v>8.8614175393818275</v>
      </c>
      <c r="O205" s="184">
        <f t="shared" si="115"/>
        <v>8.6100933846104901</v>
      </c>
      <c r="P205" s="184">
        <f t="shared" si="115"/>
        <v>8.2506953980548818</v>
      </c>
      <c r="Q205" s="184">
        <f t="shared" si="115"/>
        <v>7.8138255735605453</v>
      </c>
      <c r="R205" s="184">
        <f t="shared" si="115"/>
        <v>0</v>
      </c>
    </row>
    <row r="206" spans="1:26" x14ac:dyDescent="0.25">
      <c r="C206" s="278"/>
      <c r="E206" s="7" t="s">
        <v>322</v>
      </c>
      <c r="G206" s="7" t="s">
        <v>88</v>
      </c>
      <c r="H206" s="185">
        <f xml:space="preserve"> SUM(J206:R206)</f>
        <v>1.1615169903635891</v>
      </c>
      <c r="I206" s="185"/>
      <c r="J206" s="184">
        <f t="shared" ref="J206:K206" si="116">J205-J204</f>
        <v>0</v>
      </c>
      <c r="K206" s="184">
        <f t="shared" si="116"/>
        <v>0</v>
      </c>
      <c r="L206" s="184">
        <f>L205-L204</f>
        <v>0</v>
      </c>
      <c r="M206" s="185">
        <f>M205-M204</f>
        <v>-3.4143274380689093E-2</v>
      </c>
      <c r="N206" s="184">
        <f t="shared" ref="N206:R206" si="117">N205-N204</f>
        <v>6.55168779672195E-2</v>
      </c>
      <c r="O206" s="184">
        <f t="shared" si="117"/>
        <v>0.30711803338854082</v>
      </c>
      <c r="P206" s="184">
        <f t="shared" si="117"/>
        <v>0.41116091729214332</v>
      </c>
      <c r="Q206" s="184">
        <f t="shared" si="117"/>
        <v>0.41186443609637458</v>
      </c>
      <c r="R206" s="184">
        <f t="shared" si="117"/>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InpR!E$111</f>
        <v>WACC real on RCV - CPI(H) bf and additions - BR</v>
      </c>
      <c r="F210" s="205">
        <f>InpR!F$111</f>
        <v>0</v>
      </c>
      <c r="G210" s="223" t="str">
        <f>InpR!G$111</f>
        <v>%</v>
      </c>
      <c r="H210" s="205" t="str">
        <f>InpR!I$111</f>
        <v>PR19 Financial model, 'Bio Resources' sheet row 860</v>
      </c>
      <c r="I210" s="205" t="e">
        <f>InpR!#REF!</f>
        <v>#REF!</v>
      </c>
      <c r="J210" s="205">
        <f>InpR!J$111</f>
        <v>0</v>
      </c>
      <c r="K210" s="205">
        <f>InpR!K$111</f>
        <v>0</v>
      </c>
      <c r="L210" s="205">
        <f>InpR!L$111</f>
        <v>0</v>
      </c>
      <c r="M210" s="205">
        <f>InpR!M$111</f>
        <v>2.9195763820156317E-2</v>
      </c>
      <c r="N210" s="205">
        <f>InpR!N$111</f>
        <v>2.9195763820156317E-2</v>
      </c>
      <c r="O210" s="205">
        <f>InpR!O$111</f>
        <v>2.9195763820156317E-2</v>
      </c>
      <c r="P210" s="205">
        <f>InpR!P$111</f>
        <v>2.9195763820156317E-2</v>
      </c>
      <c r="Q210" s="205">
        <f>InpR!Q$111</f>
        <v>2.9195763820156317E-2</v>
      </c>
      <c r="R210" s="205">
        <f>InpR!R$111</f>
        <v>0</v>
      </c>
    </row>
    <row r="211" spans="1:18" x14ac:dyDescent="0.25">
      <c r="E211" s="7" t="s">
        <v>272</v>
      </c>
      <c r="G211" s="7" t="s">
        <v>273</v>
      </c>
      <c r="J211" s="255">
        <f xml:space="preserve"> (1 + J$210) ^ J$209</f>
        <v>1</v>
      </c>
      <c r="K211" s="255">
        <f t="shared" ref="K211:R211" si="118" xml:space="preserve"> (1 + K$210) ^ K$209</f>
        <v>1</v>
      </c>
      <c r="L211" s="255">
        <f t="shared" si="118"/>
        <v>1</v>
      </c>
      <c r="M211" s="255">
        <f t="shared" si="118"/>
        <v>1.1219976826191176</v>
      </c>
      <c r="N211" s="255">
        <f t="shared" si="118"/>
        <v>1.0901693555893588</v>
      </c>
      <c r="O211" s="255">
        <f t="shared" si="118"/>
        <v>1.059243920265355</v>
      </c>
      <c r="P211" s="255">
        <f t="shared" si="118"/>
        <v>1.0291957638201563</v>
      </c>
      <c r="Q211" s="255">
        <f t="shared" si="118"/>
        <v>1</v>
      </c>
      <c r="R211" s="255">
        <f t="shared" si="118"/>
        <v>1</v>
      </c>
    </row>
    <row r="213" spans="1:18" x14ac:dyDescent="0.25">
      <c r="B213" s="61" t="s">
        <v>274</v>
      </c>
    </row>
    <row r="214" spans="1:18" x14ac:dyDescent="0.25">
      <c r="E214" s="7" t="str">
        <f>E$198</f>
        <v>Value of True up run-off - real</v>
      </c>
      <c r="F214" s="184">
        <f t="shared" ref="F214:R214" si="119">F$198</f>
        <v>0</v>
      </c>
      <c r="G214" s="7" t="str">
        <f t="shared" si="119"/>
        <v>£m</v>
      </c>
      <c r="H214" s="247">
        <f t="shared" si="119"/>
        <v>0.90609691278079829</v>
      </c>
      <c r="I214" s="247">
        <f t="shared" si="119"/>
        <v>0</v>
      </c>
      <c r="J214" s="184">
        <f t="shared" si="119"/>
        <v>0</v>
      </c>
      <c r="K214" s="184">
        <f t="shared" si="119"/>
        <v>0</v>
      </c>
      <c r="L214" s="184">
        <f t="shared" si="119"/>
        <v>0</v>
      </c>
      <c r="M214" s="185">
        <f t="shared" si="119"/>
        <v>-2.6635095108583862E-2</v>
      </c>
      <c r="N214" s="184">
        <f t="shared" si="119"/>
        <v>5.1109575971463705E-2</v>
      </c>
      <c r="O214" s="184">
        <f t="shared" si="119"/>
        <v>0.23958211909199623</v>
      </c>
      <c r="P214" s="184">
        <f t="shared" si="119"/>
        <v>0.32074574965788027</v>
      </c>
      <c r="Q214" s="184">
        <f t="shared" si="119"/>
        <v>0.32129456316804195</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1.1219976826191176</v>
      </c>
      <c r="N215" s="184">
        <f t="shared" si="120"/>
        <v>1.0901693555893588</v>
      </c>
      <c r="O215" s="184">
        <f t="shared" si="120"/>
        <v>1.059243920265355</v>
      </c>
      <c r="P215" s="184">
        <f t="shared" si="120"/>
        <v>1.0291957638201563</v>
      </c>
      <c r="Q215" s="184">
        <f t="shared" si="120"/>
        <v>1</v>
      </c>
      <c r="R215" s="184">
        <f t="shared" si="120"/>
        <v>1</v>
      </c>
    </row>
    <row r="216" spans="1:18" s="34" customFormat="1" x14ac:dyDescent="0.25">
      <c r="A216" s="265"/>
      <c r="B216" s="266"/>
      <c r="C216" s="267"/>
      <c r="D216" s="268"/>
      <c r="E216" s="34" t="s">
        <v>363</v>
      </c>
      <c r="G216" s="34" t="s">
        <v>88</v>
      </c>
      <c r="H216" s="271">
        <f xml:space="preserve"> SUM(J216:R216)</f>
        <v>0.931014211544825</v>
      </c>
      <c r="J216" s="271">
        <f xml:space="preserve"> J214 * J215</f>
        <v>0</v>
      </c>
      <c r="K216" s="271">
        <f t="shared" ref="K216:R216" si="121" xml:space="preserve"> K214 * K215</f>
        <v>0</v>
      </c>
      <c r="L216" s="271">
        <f t="shared" si="121"/>
        <v>0</v>
      </c>
      <c r="M216" s="277">
        <f t="shared" si="121"/>
        <v>-2.9884514988170886E-2</v>
      </c>
      <c r="N216" s="271">
        <f t="shared" si="121"/>
        <v>5.5718093501255964E-2</v>
      </c>
      <c r="O216" s="271">
        <f t="shared" si="121"/>
        <v>0.25377590305248721</v>
      </c>
      <c r="P216" s="271">
        <f t="shared" si="121"/>
        <v>0.33011016681121075</v>
      </c>
      <c r="Q216" s="271">
        <f t="shared" si="121"/>
        <v>0.32129456316804195</v>
      </c>
      <c r="R216" s="271">
        <f t="shared" si="121"/>
        <v>0</v>
      </c>
    </row>
    <row r="218" spans="1:18" x14ac:dyDescent="0.25">
      <c r="B218" s="61" t="s">
        <v>275</v>
      </c>
    </row>
    <row r="219" spans="1:18" x14ac:dyDescent="0.25">
      <c r="E219" s="7" t="str">
        <f>E202</f>
        <v>Value of True up return - real</v>
      </c>
      <c r="F219" s="184">
        <f t="shared" ref="F219:R219" si="122">F202</f>
        <v>0</v>
      </c>
      <c r="G219" s="7" t="str">
        <f t="shared" si="122"/>
        <v>£m</v>
      </c>
      <c r="H219" s="247">
        <f t="shared" si="122"/>
        <v>0.25542007758279084</v>
      </c>
      <c r="I219" s="247">
        <f t="shared" si="122"/>
        <v>0</v>
      </c>
      <c r="J219" s="184">
        <f t="shared" si="122"/>
        <v>0</v>
      </c>
      <c r="K219" s="184">
        <f t="shared" si="122"/>
        <v>0</v>
      </c>
      <c r="L219" s="184">
        <f t="shared" si="122"/>
        <v>0</v>
      </c>
      <c r="M219" s="185">
        <f t="shared" si="122"/>
        <v>-7.508179272105231E-3</v>
      </c>
      <c r="N219" s="184">
        <f t="shared" si="122"/>
        <v>1.4407301995755573E-2</v>
      </c>
      <c r="O219" s="184">
        <f t="shared" si="122"/>
        <v>6.7535914296544153E-2</v>
      </c>
      <c r="P219" s="184">
        <f t="shared" si="122"/>
        <v>9.0415167634265048E-2</v>
      </c>
      <c r="Q219" s="184">
        <f t="shared" si="122"/>
        <v>9.0569872928331296E-2</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1.1219976826191176</v>
      </c>
      <c r="N220" s="184">
        <f t="shared" si="123"/>
        <v>1.0901693555893588</v>
      </c>
      <c r="O220" s="184">
        <f t="shared" si="123"/>
        <v>1.059243920265355</v>
      </c>
      <c r="P220" s="184">
        <f t="shared" si="123"/>
        <v>1.0291957638201563</v>
      </c>
      <c r="Q220" s="184">
        <f t="shared" si="123"/>
        <v>1</v>
      </c>
      <c r="R220" s="184">
        <f t="shared" si="123"/>
        <v>1</v>
      </c>
    </row>
    <row r="221" spans="1:18" s="34" customFormat="1" x14ac:dyDescent="0.25">
      <c r="A221" s="265"/>
      <c r="B221" s="266"/>
      <c r="C221" s="267"/>
      <c r="D221" s="268"/>
      <c r="E221" s="34" t="s">
        <v>364</v>
      </c>
      <c r="G221" s="34" t="s">
        <v>88</v>
      </c>
      <c r="H221" s="271">
        <f xml:space="preserve"> SUM(J221:R221)</f>
        <v>0.26244402644928583</v>
      </c>
      <c r="J221" s="271">
        <f xml:space="preserve"> J219 * J220</f>
        <v>0</v>
      </c>
      <c r="K221" s="271">
        <f t="shared" ref="K221:M221" si="124" xml:space="preserve"> K219 * K220</f>
        <v>0</v>
      </c>
      <c r="L221" s="271">
        <f t="shared" si="124"/>
        <v>0</v>
      </c>
      <c r="M221" s="277">
        <f t="shared" si="124"/>
        <v>-8.4241597439909614E-3</v>
      </c>
      <c r="N221" s="271">
        <f xml:space="preserve"> N219 * N220</f>
        <v>1.5706399132494137E-2</v>
      </c>
      <c r="O221" s="271">
        <f t="shared" ref="O221:R221" si="125" xml:space="preserve"> O219 * O220</f>
        <v>7.1537006618176455E-2</v>
      </c>
      <c r="P221" s="271">
        <f t="shared" si="125"/>
        <v>9.3054907514274893E-2</v>
      </c>
      <c r="Q221" s="271">
        <f t="shared" si="125"/>
        <v>9.0569872928331296E-2</v>
      </c>
      <c r="R221" s="271">
        <f t="shared" si="125"/>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31" priority="4" stopIfTrue="1" operator="notEqual">
      <formula>0</formula>
    </cfRule>
    <cfRule type="cellIs" dxfId="30" priority="5" stopIfTrue="1" operator="equal">
      <formula>""</formula>
    </cfRule>
  </conditionalFormatting>
  <conditionalFormatting sqref="F165">
    <cfRule type="cellIs" dxfId="29" priority="2" stopIfTrue="1" operator="notEqual">
      <formula>0</formula>
    </cfRule>
    <cfRule type="cellIs" dxfId="28" priority="3" stopIfTrue="1" operator="equal">
      <formula>""</formula>
    </cfRule>
  </conditionalFormatting>
  <conditionalFormatting sqref="J3:Z3">
    <cfRule type="cellIs" dxfId="27" priority="8" operator="equal">
      <formula>"Post-Fcst"</formula>
    </cfRule>
    <cfRule type="cellIs" dxfId="26" priority="9" operator="equal">
      <formula>"Forecast"</formula>
    </cfRule>
    <cfRule type="cellIs" dxfId="25" priority="10" operator="equal">
      <formula>"Pre Fcst"</formula>
    </cfRule>
  </conditionalFormatting>
  <conditionalFormatting sqref="J165:XFD165">
    <cfRule type="cellIs" dxfId="24" priority="6" stopIfTrue="1" operator="notEqual">
      <formula>0</formula>
    </cfRule>
    <cfRule type="cellIs" dxfId="23"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DMMY</v>
      </c>
      <c r="F26" s="205">
        <f xml:space="preserve"> InpR!F$98</f>
        <v>0</v>
      </c>
      <c r="G26" s="223" t="str">
        <f xml:space="preserve"> InpR!G$98</f>
        <v>%</v>
      </c>
      <c r="H26" s="205" t="str">
        <f xml:space="preserve"> InpR!I$98</f>
        <v>PR19 Financial model, 'F_OutputsMaster' sheet row 966, PR19FM2103POST</v>
      </c>
      <c r="I26" s="205" t="e">
        <f xml:space="preserve"> InpR!#REF!</f>
        <v>#REF!</v>
      </c>
      <c r="J26" s="205">
        <f xml:space="preserve"> InpR!J$98</f>
        <v>0</v>
      </c>
      <c r="K26" s="205">
        <f xml:space="preserve"> InpR!K$98</f>
        <v>0</v>
      </c>
      <c r="L26" s="205">
        <f xml:space="preserve"> InpR!L$98</f>
        <v>0</v>
      </c>
      <c r="M26" s="205">
        <f xml:space="preserve"> InpR!M$98</f>
        <v>0</v>
      </c>
      <c r="N26" s="205">
        <f xml:space="preserve"> InpR!N$98</f>
        <v>0</v>
      </c>
      <c r="O26" s="205">
        <f xml:space="preserve"> InpR!O$98</f>
        <v>0</v>
      </c>
      <c r="P26" s="205">
        <f xml:space="preserve"> InpR!P$98</f>
        <v>0</v>
      </c>
      <c r="Q26" s="205">
        <f xml:space="preserve"> InpR!Q$98</f>
        <v>0</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DMMY</v>
      </c>
      <c r="F31" s="250">
        <f>InpR!$F$91</f>
        <v>0</v>
      </c>
      <c r="G31" s="249"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InpR!E$105</f>
        <v>WACC on RCV - CPI(H) + RPI wedge bf and additions - DMMY</v>
      </c>
      <c r="F45" s="205">
        <f xml:space="preserve"> InpR!F$105</f>
        <v>0</v>
      </c>
      <c r="G45" s="223" t="str">
        <f xml:space="preserve"> InpR!G$105</f>
        <v>%</v>
      </c>
      <c r="H45" s="205" t="str">
        <f xml:space="preserve"> InpR!I$105</f>
        <v>PR19 Financial model, 'Dummy Control' sheet row 980</v>
      </c>
      <c r="I45" s="205" t="e">
        <f xml:space="preserve"> InpR!#REF!</f>
        <v>#REF!</v>
      </c>
      <c r="J45" s="205">
        <f xml:space="preserve"> InpR!J$105</f>
        <v>0</v>
      </c>
      <c r="K45" s="205">
        <f xml:space="preserve"> InpR!K$105</f>
        <v>0</v>
      </c>
      <c r="L45" s="205">
        <f xml:space="preserve"> InpR!L$105</f>
        <v>0</v>
      </c>
      <c r="M45" s="205">
        <f xml:space="preserve"> InpR!M$105</f>
        <v>0</v>
      </c>
      <c r="N45" s="205">
        <f xml:space="preserve"> InpR!N$105</f>
        <v>0</v>
      </c>
      <c r="O45" s="205">
        <f xml:space="preserve"> InpR!O$105</f>
        <v>0</v>
      </c>
      <c r="P45" s="205">
        <f xml:space="preserve"> InpR!P$105</f>
        <v>0</v>
      </c>
      <c r="Q45" s="205">
        <f xml:space="preserve"> InpR!Q$105</f>
        <v>0</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2.6383826896292373E-2</v>
      </c>
      <c r="Q69" s="205">
        <f>Index!Q$135</f>
        <v>1.413341847387195E-2</v>
      </c>
      <c r="R69" s="205">
        <f>Index!R$135</f>
        <v>0</v>
      </c>
    </row>
    <row r="70" spans="1:16383" s="172" customFormat="1" x14ac:dyDescent="0.25">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4.7383826896292947E-2</v>
      </c>
      <c r="Q70" s="172">
        <f t="shared" si="26"/>
        <v>3.513341847387319E-2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4.7383826896292947E-2</v>
      </c>
      <c r="Q74" s="172">
        <f t="shared" si="28"/>
        <v>3.513341847387319E-2</v>
      </c>
      <c r="R74" s="172">
        <f t="shared" si="28"/>
        <v>1.999999999999913E-2</v>
      </c>
      <c r="S74" s="177"/>
      <c r="T74" s="177"/>
      <c r="U74" s="177"/>
      <c r="V74" s="177"/>
      <c r="W74" s="177"/>
      <c r="X74" s="177"/>
      <c r="Y74" s="177"/>
      <c r="Z74" s="177"/>
    </row>
    <row r="75" spans="1:16383" x14ac:dyDescent="0.25">
      <c r="E75" s="7" t="s">
        <v>152</v>
      </c>
      <c r="G75" s="162" t="s">
        <v>88</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InpR!E$98</f>
        <v>Run-off rate - CPI(H) + RPI wedge - active - DMMY</v>
      </c>
      <c r="F77" s="205">
        <f xml:space="preserve"> InpR!F$98</f>
        <v>0</v>
      </c>
      <c r="G77" s="223" t="str">
        <f xml:space="preserve"> InpR!G$98</f>
        <v>%</v>
      </c>
      <c r="H77" s="205" t="str">
        <f xml:space="preserve"> InpR!I$98</f>
        <v>PR19 Financial model, 'F_OutputsMaster' sheet row 966, PR19FM2103POST</v>
      </c>
      <c r="I77" s="205" t="e">
        <f xml:space="preserve"> InpR!#REF!</f>
        <v>#REF!</v>
      </c>
      <c r="J77" s="205">
        <f xml:space="preserve"> InpR!J$98</f>
        <v>0</v>
      </c>
      <c r="K77" s="205">
        <f xml:space="preserve"> InpR!K$98</f>
        <v>0</v>
      </c>
      <c r="L77" s="205">
        <f xml:space="preserve"> InpR!L$98</f>
        <v>0</v>
      </c>
      <c r="M77" s="205">
        <f xml:space="preserve"> InpR!M$98</f>
        <v>0</v>
      </c>
      <c r="N77" s="205">
        <f xml:space="preserve"> InpR!N$98</f>
        <v>0</v>
      </c>
      <c r="O77" s="205">
        <f xml:space="preserve"> InpR!O$98</f>
        <v>0</v>
      </c>
      <c r="P77" s="205">
        <f xml:space="preserve"> InpR!P$98</f>
        <v>0</v>
      </c>
      <c r="Q77" s="205">
        <f xml:space="preserve"> InpR!Q$98</f>
        <v>0</v>
      </c>
      <c r="R77" s="205">
        <f xml:space="preserve"> InpR!R$98</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153</v>
      </c>
      <c r="F80" s="244"/>
      <c r="G80" s="244" t="s">
        <v>88</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InpR!$E$91</f>
        <v>RCV - CPI(H) + RPI wedge initial balance - nominal - DMMY</v>
      </c>
      <c r="F82" s="250">
        <f>InpR!$F$91</f>
        <v>0</v>
      </c>
      <c r="G82" s="249" t="str">
        <f>InpR!$G$91</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155</v>
      </c>
      <c r="G88" s="163" t="s">
        <v>88</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173</v>
      </c>
      <c r="G93" s="92" t="s">
        <v>88</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InpR!E$105</f>
        <v>WACC on RCV - CPI(H) + RPI wedge bf and additions - DMMY</v>
      </c>
      <c r="F96" s="205">
        <f xml:space="preserve"> InpR!F$105</f>
        <v>0</v>
      </c>
      <c r="G96" s="223" t="str">
        <f xml:space="preserve"> InpR!G$105</f>
        <v>%</v>
      </c>
      <c r="H96" s="205" t="str">
        <f xml:space="preserve"> InpR!I$105</f>
        <v>PR19 Financial model, 'Dummy Control' sheet row 980</v>
      </c>
      <c r="I96" s="205" t="e">
        <f xml:space="preserve"> InpR!#REF!</f>
        <v>#REF!</v>
      </c>
      <c r="J96" s="205">
        <f xml:space="preserve"> InpR!J$105</f>
        <v>0</v>
      </c>
      <c r="K96" s="205">
        <f xml:space="preserve"> InpR!K$105</f>
        <v>0</v>
      </c>
      <c r="L96" s="205">
        <f xml:space="preserve"> InpR!L$105</f>
        <v>0</v>
      </c>
      <c r="M96" s="205">
        <f xml:space="preserve"> InpR!M$105</f>
        <v>0</v>
      </c>
      <c r="N96" s="205">
        <f xml:space="preserve"> InpR!N$105</f>
        <v>0</v>
      </c>
      <c r="O96" s="205">
        <f xml:space="preserve"> InpR!O$105</f>
        <v>0</v>
      </c>
      <c r="P96" s="205">
        <f xml:space="preserve"> InpR!P$105</f>
        <v>0</v>
      </c>
      <c r="Q96" s="205">
        <f xml:space="preserve"> InpR!Q$105</f>
        <v>0</v>
      </c>
      <c r="R96" s="205">
        <f xml:space="preserve"> InpR!R$105</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157</v>
      </c>
      <c r="F99" s="244"/>
      <c r="G99" s="184" t="s">
        <v>88</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266</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267</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0</v>
      </c>
      <c r="N128" s="245">
        <f t="shared" si="58"/>
        <v>0</v>
      </c>
      <c r="O128" s="245">
        <f t="shared" si="58"/>
        <v>0</v>
      </c>
      <c r="P128" s="245">
        <f t="shared" si="58"/>
        <v>0</v>
      </c>
      <c r="Q128" s="245">
        <f t="shared" si="58"/>
        <v>0</v>
      </c>
      <c r="R128" s="245">
        <f t="shared" si="58"/>
        <v>0</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162</v>
      </c>
      <c r="G130" s="91" t="s">
        <v>88</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InpR!E$98</f>
        <v>Run-off rate - CPI(H) + RPI wedge - active - DMMY</v>
      </c>
      <c r="F132" s="205">
        <f xml:space="preserve"> InpR!F$98</f>
        <v>0</v>
      </c>
      <c r="G132" s="223" t="str">
        <f xml:space="preserve"> InpR!G$98</f>
        <v>%</v>
      </c>
      <c r="H132" s="205" t="str">
        <f xml:space="preserve"> InpR!I$98</f>
        <v>PR19 Financial model, 'F_OutputsMaster' sheet row 966, PR19FM2103POST</v>
      </c>
      <c r="I132" s="205" t="e">
        <f xml:space="preserve"> InpR!#REF!</f>
        <v>#REF!</v>
      </c>
      <c r="J132" s="205">
        <f xml:space="preserve"> InpR!J$98</f>
        <v>0</v>
      </c>
      <c r="K132" s="205">
        <f xml:space="preserve"> InpR!K$98</f>
        <v>0</v>
      </c>
      <c r="L132" s="205">
        <f xml:space="preserve"> InpR!L$98</f>
        <v>0</v>
      </c>
      <c r="M132" s="205">
        <f xml:space="preserve"> InpR!M$98</f>
        <v>0</v>
      </c>
      <c r="N132" s="205">
        <f xml:space="preserve"> InpR!N$98</f>
        <v>0</v>
      </c>
      <c r="O132" s="205">
        <f xml:space="preserve"> InpR!O$98</f>
        <v>0</v>
      </c>
      <c r="P132" s="205">
        <f xml:space="preserve"> InpR!P$98</f>
        <v>0</v>
      </c>
      <c r="Q132" s="205">
        <f xml:space="preserve"> InpR!Q$98</f>
        <v>0</v>
      </c>
      <c r="R132" s="205">
        <f xml:space="preserve"> InpR!R$98</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0</v>
      </c>
      <c r="N133" s="245">
        <f t="shared" si="62"/>
        <v>0</v>
      </c>
      <c r="O133" s="245">
        <f t="shared" si="62"/>
        <v>0</v>
      </c>
      <c r="P133" s="245">
        <f t="shared" si="62"/>
        <v>0</v>
      </c>
      <c r="Q133" s="245">
        <f t="shared" si="62"/>
        <v>0</v>
      </c>
      <c r="R133" s="245">
        <f t="shared" si="62"/>
        <v>0</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c r="S134" s="92"/>
      <c r="T134" s="92"/>
      <c r="U134" s="92"/>
      <c r="V134" s="92"/>
      <c r="W134" s="92"/>
      <c r="X134" s="92"/>
      <c r="Y134" s="92"/>
      <c r="Z134" s="92"/>
    </row>
    <row r="135" spans="1:16383" x14ac:dyDescent="0.25">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0</v>
      </c>
      <c r="N135" s="246">
        <f t="shared" si="64"/>
        <v>0</v>
      </c>
      <c r="O135" s="246">
        <f t="shared" si="64"/>
        <v>0</v>
      </c>
      <c r="P135" s="246">
        <f t="shared" si="64"/>
        <v>0</v>
      </c>
      <c r="Q135" s="246">
        <f t="shared" si="64"/>
        <v>0</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InpR!$E$91</f>
        <v>RCV - CPI(H) + RPI wedge initial balance - nominal - DMMY</v>
      </c>
      <c r="F137" s="250">
        <f>InpR!$F$91</f>
        <v>0</v>
      </c>
      <c r="G137" s="249" t="str">
        <f>InpR!$G$91</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R140" si="65" xml:space="preserve"> I143</f>
        <v>0</v>
      </c>
      <c r="K140" s="242">
        <f t="shared" si="65"/>
        <v>0</v>
      </c>
      <c r="L140" s="242">
        <f t="shared" si="65"/>
        <v>0</v>
      </c>
      <c r="M140" s="242">
        <f t="shared" si="65"/>
        <v>0</v>
      </c>
      <c r="N140" s="242">
        <f t="shared" si="65"/>
        <v>0</v>
      </c>
      <c r="O140" s="242">
        <f t="shared" si="65"/>
        <v>0</v>
      </c>
      <c r="P140" s="242">
        <f t="shared" si="65"/>
        <v>0</v>
      </c>
      <c r="Q140" s="242">
        <f t="shared" si="65"/>
        <v>0</v>
      </c>
      <c r="R140" s="242">
        <f t="shared" si="65"/>
        <v>0</v>
      </c>
    </row>
    <row r="141" spans="1:16383" x14ac:dyDescent="0.25">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0</v>
      </c>
      <c r="N141" s="242">
        <f t="shared" si="66"/>
        <v>0</v>
      </c>
      <c r="O141" s="242">
        <f t="shared" si="66"/>
        <v>0</v>
      </c>
      <c r="P141" s="242">
        <f t="shared" si="66"/>
        <v>0</v>
      </c>
      <c r="Q141" s="242">
        <f t="shared" si="66"/>
        <v>0</v>
      </c>
      <c r="R141" s="242">
        <f t="shared" si="66"/>
        <v>0</v>
      </c>
    </row>
    <row r="142" spans="1:16383" x14ac:dyDescent="0.25">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0</v>
      </c>
      <c r="N142" s="242">
        <f t="shared" si="67"/>
        <v>0</v>
      </c>
      <c r="O142" s="242">
        <f t="shared" si="67"/>
        <v>0</v>
      </c>
      <c r="P142" s="242">
        <f t="shared" si="67"/>
        <v>0</v>
      </c>
      <c r="Q142" s="242">
        <f t="shared" si="67"/>
        <v>0</v>
      </c>
      <c r="R142" s="242">
        <f t="shared" si="67"/>
        <v>0</v>
      </c>
    </row>
    <row r="143" spans="1:16383" s="138" customFormat="1" x14ac:dyDescent="0.25">
      <c r="A143" s="134"/>
      <c r="B143" s="135"/>
      <c r="C143" s="279"/>
      <c r="D143" s="137"/>
      <c r="E143" s="138" t="s">
        <v>164</v>
      </c>
      <c r="G143" s="163" t="s">
        <v>88</v>
      </c>
      <c r="J143" s="243">
        <f t="shared" ref="J143:R143" si="68" xml:space="preserve"> IF( J138 = 1, $F137, J140 + J141 - J142)</f>
        <v>0</v>
      </c>
      <c r="K143" s="243">
        <f t="shared" si="68"/>
        <v>0</v>
      </c>
      <c r="L143" s="243">
        <f t="shared" si="68"/>
        <v>0</v>
      </c>
      <c r="M143" s="243">
        <f t="shared" si="68"/>
        <v>0</v>
      </c>
      <c r="N143" s="243">
        <f t="shared" si="68"/>
        <v>0</v>
      </c>
      <c r="O143" s="243">
        <f t="shared" si="68"/>
        <v>0</v>
      </c>
      <c r="P143" s="243">
        <f t="shared" si="68"/>
        <v>0</v>
      </c>
      <c r="Q143" s="243">
        <f t="shared" si="68"/>
        <v>0</v>
      </c>
      <c r="R143" s="243">
        <f t="shared" si="68"/>
        <v>0</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0</v>
      </c>
      <c r="N145" s="185">
        <f t="shared" si="69"/>
        <v>0</v>
      </c>
      <c r="O145" s="185">
        <f t="shared" si="69"/>
        <v>0</v>
      </c>
      <c r="P145" s="185">
        <f t="shared" si="69"/>
        <v>0</v>
      </c>
      <c r="Q145" s="185">
        <f t="shared" si="69"/>
        <v>0</v>
      </c>
      <c r="R145" s="185">
        <f t="shared" si="69"/>
        <v>0</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0</v>
      </c>
      <c r="N146" s="184">
        <f t="shared" si="70"/>
        <v>0</v>
      </c>
      <c r="O146" s="184">
        <f t="shared" si="70"/>
        <v>0</v>
      </c>
      <c r="P146" s="184">
        <f t="shared" si="70"/>
        <v>0</v>
      </c>
      <c r="Q146" s="184">
        <f t="shared" si="70"/>
        <v>0</v>
      </c>
      <c r="R146" s="184">
        <f t="shared" si="70"/>
        <v>0</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0</v>
      </c>
      <c r="M147" s="185">
        <f t="shared" si="71"/>
        <v>0</v>
      </c>
      <c r="N147" s="185">
        <f t="shared" si="71"/>
        <v>0</v>
      </c>
      <c r="O147" s="185">
        <f t="shared" si="71"/>
        <v>0</v>
      </c>
      <c r="P147" s="185">
        <f t="shared" si="71"/>
        <v>0</v>
      </c>
      <c r="Q147" s="185">
        <f t="shared" si="71"/>
        <v>0</v>
      </c>
      <c r="R147" s="185">
        <f t="shared" si="71"/>
        <v>0</v>
      </c>
    </row>
    <row r="148" spans="1:26" x14ac:dyDescent="0.25">
      <c r="A148" s="49"/>
      <c r="C148" s="278"/>
      <c r="D148" s="57"/>
      <c r="E148" s="7" t="s">
        <v>317</v>
      </c>
      <c r="F148" s="244"/>
      <c r="G148" s="185" t="s">
        <v>88</v>
      </c>
      <c r="H148" s="244"/>
      <c r="I148" s="244"/>
      <c r="J148" s="185">
        <f t="shared" ref="J148:L148" si="72" xml:space="preserve"> ( (J145+J146) + J147) / 2</f>
        <v>0</v>
      </c>
      <c r="K148" s="185">
        <f t="shared" si="72"/>
        <v>0</v>
      </c>
      <c r="L148" s="185">
        <f t="shared" si="72"/>
        <v>0</v>
      </c>
      <c r="M148" s="185">
        <f xml:space="preserve"> ( (M145+M146) + M147) / 2</f>
        <v>0</v>
      </c>
      <c r="N148" s="185">
        <f t="shared" ref="N148:R148" si="73" xml:space="preserve"> ( (N145+N146) + N147) / 2</f>
        <v>0</v>
      </c>
      <c r="O148" s="185">
        <f t="shared" si="73"/>
        <v>0</v>
      </c>
      <c r="P148" s="185">
        <f t="shared" si="73"/>
        <v>0</v>
      </c>
      <c r="Q148" s="185">
        <f t="shared" si="73"/>
        <v>0</v>
      </c>
      <c r="R148" s="185">
        <f t="shared" si="73"/>
        <v>0</v>
      </c>
    </row>
    <row r="150" spans="1:26" s="205" customFormat="1" x14ac:dyDescent="0.25">
      <c r="A150" s="201"/>
      <c r="B150" s="202"/>
      <c r="C150" s="203"/>
      <c r="D150" s="204"/>
      <c r="E150" s="205" t="str">
        <f xml:space="preserve"> InpR!E$105</f>
        <v>WACC on RCV - CPI(H) + RPI wedge bf and additions - DMMY</v>
      </c>
      <c r="F150" s="205">
        <f xml:space="preserve"> InpR!F$105</f>
        <v>0</v>
      </c>
      <c r="G150" s="223" t="str">
        <f xml:space="preserve"> InpR!G$105</f>
        <v>%</v>
      </c>
      <c r="H150" s="205" t="str">
        <f xml:space="preserve"> InpR!I$105</f>
        <v>PR19 Financial model, 'Dummy Control' sheet row 980</v>
      </c>
      <c r="I150" s="205" t="e">
        <f xml:space="preserve"> InpR!#REF!</f>
        <v>#REF!</v>
      </c>
      <c r="J150" s="205">
        <f xml:space="preserve"> InpR!J$105</f>
        <v>0</v>
      </c>
      <c r="K150" s="205">
        <f xml:space="preserve"> InpR!K$105</f>
        <v>0</v>
      </c>
      <c r="L150" s="205">
        <f xml:space="preserve"> InpR!L$105</f>
        <v>0</v>
      </c>
      <c r="M150" s="205">
        <f xml:space="preserve"> InpR!M$105</f>
        <v>0</v>
      </c>
      <c r="N150" s="205">
        <f xml:space="preserve"> InpR!N$105</f>
        <v>0</v>
      </c>
      <c r="O150" s="205">
        <f xml:space="preserve"> InpR!O$105</f>
        <v>0</v>
      </c>
      <c r="P150" s="205">
        <f xml:space="preserve"> InpR!P$105</f>
        <v>0</v>
      </c>
      <c r="Q150" s="205">
        <f xml:space="preserve"> InpR!Q$105</f>
        <v>0</v>
      </c>
      <c r="R150" s="205">
        <f xml:space="preserve"> InpR!R$105</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0</v>
      </c>
      <c r="M152" s="246">
        <f t="shared" si="74"/>
        <v>0</v>
      </c>
      <c r="N152" s="246">
        <f t="shared" si="74"/>
        <v>0</v>
      </c>
      <c r="O152" s="246">
        <f t="shared" si="74"/>
        <v>0</v>
      </c>
      <c r="P152" s="246">
        <f t="shared" si="74"/>
        <v>0</v>
      </c>
      <c r="Q152" s="246">
        <f t="shared" si="74"/>
        <v>0</v>
      </c>
      <c r="R152" s="246">
        <f t="shared" si="74"/>
        <v>0</v>
      </c>
    </row>
    <row r="153" spans="1:26" x14ac:dyDescent="0.25">
      <c r="C153" s="278"/>
      <c r="E153" s="7" t="s">
        <v>320</v>
      </c>
      <c r="F153" s="244"/>
      <c r="G153" s="184" t="s">
        <v>88</v>
      </c>
      <c r="H153" s="244"/>
      <c r="I153" s="244"/>
      <c r="J153" s="246">
        <f t="shared" ref="J153:K153" si="75">J150*J151*J152</f>
        <v>0</v>
      </c>
      <c r="K153" s="246">
        <f t="shared" si="75"/>
        <v>0</v>
      </c>
      <c r="L153" s="246">
        <f>L150*L151*L152</f>
        <v>0</v>
      </c>
      <c r="M153" s="246">
        <f t="shared" ref="M153:R153" si="76">M150*M151*M152</f>
        <v>0</v>
      </c>
      <c r="N153" s="246">
        <f t="shared" si="76"/>
        <v>0</v>
      </c>
      <c r="O153" s="246">
        <f t="shared" si="76"/>
        <v>0</v>
      </c>
      <c r="P153" s="246">
        <f t="shared" si="76"/>
        <v>0</v>
      </c>
      <c r="Q153" s="246">
        <f t="shared" si="76"/>
        <v>0</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0</v>
      </c>
      <c r="N155" s="184">
        <f t="shared" si="77"/>
        <v>0</v>
      </c>
      <c r="O155" s="184">
        <f t="shared" si="77"/>
        <v>0</v>
      </c>
      <c r="P155" s="184">
        <f t="shared" si="77"/>
        <v>0</v>
      </c>
      <c r="Q155" s="184">
        <f t="shared" si="77"/>
        <v>0</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0</v>
      </c>
      <c r="N156" s="184">
        <f t="shared" si="78"/>
        <v>0</v>
      </c>
      <c r="O156" s="184">
        <f t="shared" si="78"/>
        <v>0</v>
      </c>
      <c r="P156" s="184">
        <f t="shared" si="78"/>
        <v>0</v>
      </c>
      <c r="Q156" s="184">
        <f t="shared" si="78"/>
        <v>0</v>
      </c>
      <c r="R156" s="184">
        <f t="shared" si="78"/>
        <v>0</v>
      </c>
    </row>
    <row r="157" spans="1:26" x14ac:dyDescent="0.25">
      <c r="C157" s="278"/>
      <c r="E157" s="7" t="s">
        <v>321</v>
      </c>
      <c r="F157" s="244"/>
      <c r="G157" s="184" t="str">
        <f t="shared" ref="G157" si="79">G$155</f>
        <v>£m</v>
      </c>
      <c r="H157" s="244">
        <f>SUM(J157:R157)</f>
        <v>0</v>
      </c>
      <c r="I157" s="244"/>
      <c r="J157" s="244">
        <f t="shared" ref="J157:R157" si="80">SUM(J155:J156)</f>
        <v>0</v>
      </c>
      <c r="K157" s="244">
        <f t="shared" si="80"/>
        <v>0</v>
      </c>
      <c r="L157" s="244">
        <f>SUM(L155:L156)</f>
        <v>0</v>
      </c>
      <c r="M157" s="244">
        <f t="shared" si="80"/>
        <v>0</v>
      </c>
      <c r="N157" s="244">
        <f t="shared" si="80"/>
        <v>0</v>
      </c>
      <c r="O157" s="244">
        <f t="shared" si="80"/>
        <v>0</v>
      </c>
      <c r="P157" s="244">
        <f t="shared" si="80"/>
        <v>0</v>
      </c>
      <c r="Q157" s="244">
        <f t="shared" si="80"/>
        <v>0</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0</v>
      </c>
      <c r="I159" s="184">
        <f t="shared" si="81"/>
        <v>0</v>
      </c>
      <c r="J159" s="184">
        <f t="shared" si="81"/>
        <v>0</v>
      </c>
      <c r="K159" s="184">
        <f t="shared" si="81"/>
        <v>0</v>
      </c>
      <c r="L159" s="184">
        <f t="shared" si="81"/>
        <v>0</v>
      </c>
      <c r="M159" s="184">
        <f t="shared" si="81"/>
        <v>0</v>
      </c>
      <c r="N159" s="184">
        <f t="shared" si="81"/>
        <v>0</v>
      </c>
      <c r="O159" s="184">
        <f t="shared" si="81"/>
        <v>0</v>
      </c>
      <c r="P159" s="184">
        <f t="shared" si="81"/>
        <v>0</v>
      </c>
      <c r="Q159" s="184">
        <f t="shared" si="81"/>
        <v>0</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0</v>
      </c>
      <c r="I160" s="184">
        <f t="shared" si="82"/>
        <v>0</v>
      </c>
      <c r="J160" s="184">
        <f t="shared" si="82"/>
        <v>0</v>
      </c>
      <c r="K160" s="184">
        <f t="shared" si="82"/>
        <v>0</v>
      </c>
      <c r="L160" s="184">
        <f t="shared" si="82"/>
        <v>0</v>
      </c>
      <c r="M160" s="184">
        <f t="shared" si="82"/>
        <v>0</v>
      </c>
      <c r="N160" s="184">
        <f t="shared" si="82"/>
        <v>0</v>
      </c>
      <c r="O160" s="184">
        <f t="shared" si="82"/>
        <v>0</v>
      </c>
      <c r="P160" s="184">
        <f t="shared" si="82"/>
        <v>0</v>
      </c>
      <c r="Q160" s="184">
        <f t="shared" si="82"/>
        <v>0</v>
      </c>
      <c r="R160" s="184">
        <f t="shared" si="82"/>
        <v>0</v>
      </c>
    </row>
    <row r="161" spans="1:16383" s="185" customFormat="1" x14ac:dyDescent="0.25">
      <c r="A161" s="252"/>
      <c r="B161" s="181"/>
      <c r="C161" s="182"/>
      <c r="D161" s="253"/>
      <c r="E161" s="7" t="s">
        <v>268</v>
      </c>
      <c r="G161" s="185" t="str">
        <f t="shared" ref="G161" si="83" xml:space="preserve"> G$153</f>
        <v>£m</v>
      </c>
      <c r="H161" s="185">
        <f xml:space="preserve"> SUM(J161:R161)</f>
        <v>0</v>
      </c>
      <c r="J161" s="185">
        <f t="shared" ref="J161:K161" si="84">J160-J159</f>
        <v>0</v>
      </c>
      <c r="K161" s="185">
        <f t="shared" si="84"/>
        <v>0</v>
      </c>
      <c r="L161" s="185">
        <f>L160-L159</f>
        <v>0</v>
      </c>
      <c r="M161" s="185">
        <f>M160-M159</f>
        <v>0</v>
      </c>
      <c r="N161" s="185">
        <f t="shared" ref="N161:R161" si="85">N160-N159</f>
        <v>0</v>
      </c>
      <c r="O161" s="185">
        <f t="shared" si="85"/>
        <v>0</v>
      </c>
      <c r="P161" s="185">
        <f t="shared" si="85"/>
        <v>0</v>
      </c>
      <c r="Q161" s="185">
        <f t="shared" si="85"/>
        <v>0</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0</v>
      </c>
      <c r="I163" s="248">
        <f t="shared" si="86"/>
        <v>0</v>
      </c>
      <c r="J163" s="248">
        <f t="shared" si="86"/>
        <v>0</v>
      </c>
      <c r="K163" s="248">
        <f t="shared" si="86"/>
        <v>0</v>
      </c>
      <c r="L163" s="248">
        <f t="shared" si="86"/>
        <v>0</v>
      </c>
      <c r="M163" s="248">
        <f t="shared" si="86"/>
        <v>0</v>
      </c>
      <c r="N163" s="248">
        <f t="shared" si="86"/>
        <v>0</v>
      </c>
      <c r="O163" s="248">
        <f t="shared" si="86"/>
        <v>0</v>
      </c>
      <c r="P163" s="248">
        <f t="shared" si="86"/>
        <v>0</v>
      </c>
      <c r="Q163" s="248">
        <f t="shared" si="86"/>
        <v>0</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v>
      </c>
      <c r="I164" s="248">
        <f t="shared" si="87"/>
        <v>0</v>
      </c>
      <c r="J164" s="248">
        <f t="shared" si="87"/>
        <v>0</v>
      </c>
      <c r="K164" s="248">
        <f t="shared" si="87"/>
        <v>0</v>
      </c>
      <c r="L164" s="248">
        <f t="shared" si="87"/>
        <v>0</v>
      </c>
      <c r="M164" s="248">
        <f t="shared" si="87"/>
        <v>0</v>
      </c>
      <c r="N164" s="248">
        <f t="shared" si="87"/>
        <v>0</v>
      </c>
      <c r="O164" s="248">
        <f t="shared" si="87"/>
        <v>0</v>
      </c>
      <c r="P164" s="248">
        <f t="shared" si="87"/>
        <v>0</v>
      </c>
      <c r="Q164" s="248">
        <f t="shared" si="87"/>
        <v>0</v>
      </c>
      <c r="R164" s="248">
        <f t="shared" si="87"/>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278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0</v>
      </c>
      <c r="M169" s="185">
        <f t="shared" si="90"/>
        <v>0</v>
      </c>
      <c r="N169" s="184">
        <f t="shared" si="90"/>
        <v>0</v>
      </c>
      <c r="O169" s="184">
        <f t="shared" si="90"/>
        <v>0</v>
      </c>
      <c r="P169" s="184">
        <f t="shared" si="90"/>
        <v>0</v>
      </c>
      <c r="Q169" s="184">
        <f t="shared" si="90"/>
        <v>0</v>
      </c>
      <c r="R169" s="184">
        <f t="shared" si="90"/>
        <v>0</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0</v>
      </c>
      <c r="M170" s="185">
        <f t="shared" si="91"/>
        <v>0</v>
      </c>
      <c r="N170" s="184">
        <f t="shared" si="91"/>
        <v>0</v>
      </c>
      <c r="O170" s="184">
        <f t="shared" si="91"/>
        <v>0</v>
      </c>
      <c r="P170" s="184">
        <f t="shared" si="91"/>
        <v>0</v>
      </c>
      <c r="Q170" s="184">
        <f t="shared" si="91"/>
        <v>0</v>
      </c>
      <c r="R170" s="184">
        <f t="shared" si="91"/>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0</v>
      </c>
      <c r="M172" s="184">
        <f t="shared" si="92"/>
        <v>0</v>
      </c>
      <c r="N172" s="184">
        <f t="shared" si="92"/>
        <v>0</v>
      </c>
      <c r="O172" s="184">
        <f t="shared" si="92"/>
        <v>0</v>
      </c>
      <c r="P172" s="184">
        <f t="shared" si="92"/>
        <v>0</v>
      </c>
      <c r="Q172" s="184">
        <f t="shared" si="92"/>
        <v>0</v>
      </c>
      <c r="R172" s="184">
        <f t="shared" si="92"/>
        <v>0</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0</v>
      </c>
      <c r="M173" s="184">
        <f t="shared" si="92"/>
        <v>0</v>
      </c>
      <c r="N173" s="184">
        <f t="shared" si="92"/>
        <v>0</v>
      </c>
      <c r="O173" s="184">
        <f t="shared" si="92"/>
        <v>0</v>
      </c>
      <c r="P173" s="184">
        <f t="shared" si="92"/>
        <v>0</v>
      </c>
      <c r="Q173" s="184">
        <f t="shared" si="92"/>
        <v>0</v>
      </c>
      <c r="R173" s="184">
        <f t="shared" si="92"/>
        <v>0</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0</v>
      </c>
      <c r="N174" s="185">
        <f t="shared" si="93"/>
        <v>0</v>
      </c>
      <c r="O174" s="185">
        <f t="shared" si="93"/>
        <v>0</v>
      </c>
      <c r="P174" s="185">
        <f t="shared" si="93"/>
        <v>0</v>
      </c>
      <c r="Q174" s="185">
        <f t="shared" si="93"/>
        <v>0</v>
      </c>
      <c r="R174" s="185">
        <f t="shared" si="93"/>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v>
      </c>
      <c r="N176" s="185">
        <f t="shared" si="94"/>
        <v>0</v>
      </c>
      <c r="O176" s="185">
        <f t="shared" si="94"/>
        <v>0</v>
      </c>
      <c r="P176" s="185">
        <f t="shared" si="94"/>
        <v>0</v>
      </c>
      <c r="Q176" s="185">
        <f t="shared" si="94"/>
        <v>0</v>
      </c>
      <c r="R176" s="185">
        <f t="shared" si="94"/>
        <v>0</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365</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0</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0</v>
      </c>
      <c r="N182" s="184">
        <f t="shared" si="96"/>
        <v>0</v>
      </c>
      <c r="O182" s="184">
        <f t="shared" si="96"/>
        <v>0</v>
      </c>
      <c r="P182" s="184">
        <f t="shared" si="96"/>
        <v>0</v>
      </c>
      <c r="Q182" s="184">
        <f t="shared" si="96"/>
        <v>0</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0</v>
      </c>
      <c r="N183" s="184">
        <f t="shared" si="97"/>
        <v>0</v>
      </c>
      <c r="O183" s="184">
        <f t="shared" si="97"/>
        <v>0</v>
      </c>
      <c r="P183" s="184">
        <f t="shared" si="97"/>
        <v>0</v>
      </c>
      <c r="Q183" s="184">
        <f t="shared" si="97"/>
        <v>0</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0</v>
      </c>
      <c r="I184" s="184">
        <f t="shared" si="98"/>
        <v>0</v>
      </c>
      <c r="J184" s="184">
        <f t="shared" si="98"/>
        <v>0</v>
      </c>
      <c r="K184" s="184">
        <f t="shared" si="98"/>
        <v>0</v>
      </c>
      <c r="L184" s="184">
        <f t="shared" si="98"/>
        <v>0</v>
      </c>
      <c r="M184" s="184">
        <f t="shared" si="98"/>
        <v>0</v>
      </c>
      <c r="N184" s="184">
        <f t="shared" si="98"/>
        <v>0</v>
      </c>
      <c r="O184" s="184">
        <f t="shared" si="98"/>
        <v>0</v>
      </c>
      <c r="P184" s="184">
        <f t="shared" si="98"/>
        <v>0</v>
      </c>
      <c r="Q184" s="184">
        <f t="shared" si="98"/>
        <v>0</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0</v>
      </c>
      <c r="N185" s="184">
        <f t="shared" si="99"/>
        <v>0</v>
      </c>
      <c r="O185" s="184">
        <f t="shared" si="99"/>
        <v>0</v>
      </c>
      <c r="P185" s="184">
        <f t="shared" si="99"/>
        <v>0</v>
      </c>
      <c r="Q185" s="184">
        <f t="shared" si="99"/>
        <v>0</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0</v>
      </c>
      <c r="N186" s="184">
        <f t="shared" si="100"/>
        <v>0</v>
      </c>
      <c r="O186" s="184">
        <f t="shared" si="100"/>
        <v>0</v>
      </c>
      <c r="P186" s="184">
        <f t="shared" si="100"/>
        <v>0</v>
      </c>
      <c r="Q186" s="184">
        <f t="shared" si="100"/>
        <v>0</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0</v>
      </c>
      <c r="I187" s="184">
        <f t="shared" si="101"/>
        <v>0</v>
      </c>
      <c r="J187" s="184">
        <f t="shared" si="101"/>
        <v>0</v>
      </c>
      <c r="K187" s="184">
        <f t="shared" si="101"/>
        <v>0</v>
      </c>
      <c r="L187" s="184">
        <f t="shared" si="101"/>
        <v>0</v>
      </c>
      <c r="M187" s="184">
        <f t="shared" si="101"/>
        <v>0</v>
      </c>
      <c r="N187" s="184">
        <f t="shared" si="101"/>
        <v>0</v>
      </c>
      <c r="O187" s="184">
        <f t="shared" si="101"/>
        <v>0</v>
      </c>
      <c r="P187" s="184">
        <f t="shared" si="101"/>
        <v>0</v>
      </c>
      <c r="Q187" s="184">
        <f t="shared" si="101"/>
        <v>0</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0</v>
      </c>
      <c r="I189" s="184"/>
      <c r="J189" s="184">
        <f t="shared" ref="J189:R194" si="105" xml:space="preserve"> IF(J$188 = 0, 0, J182 / J$188)</f>
        <v>0</v>
      </c>
      <c r="K189" s="184">
        <f t="shared" si="105"/>
        <v>0</v>
      </c>
      <c r="L189" s="184">
        <f t="shared" si="105"/>
        <v>0</v>
      </c>
      <c r="M189" s="185">
        <f t="shared" si="105"/>
        <v>0</v>
      </c>
      <c r="N189" s="184">
        <f t="shared" si="105"/>
        <v>0</v>
      </c>
      <c r="O189" s="184">
        <f t="shared" si="105"/>
        <v>0</v>
      </c>
      <c r="P189" s="184">
        <f t="shared" si="105"/>
        <v>0</v>
      </c>
      <c r="Q189" s="184">
        <f t="shared" si="105"/>
        <v>0</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0</v>
      </c>
      <c r="I190" s="184"/>
      <c r="J190" s="184">
        <f t="shared" si="105"/>
        <v>0</v>
      </c>
      <c r="K190" s="184">
        <f t="shared" si="105"/>
        <v>0</v>
      </c>
      <c r="L190" s="184">
        <f t="shared" si="105"/>
        <v>0</v>
      </c>
      <c r="M190" s="185">
        <f t="shared" si="105"/>
        <v>0</v>
      </c>
      <c r="N190" s="184">
        <f xml:space="preserve"> IF(N$188 = 0, 0, N183 / N$188)</f>
        <v>0</v>
      </c>
      <c r="O190" s="184">
        <f t="shared" si="105"/>
        <v>0</v>
      </c>
      <c r="P190" s="184">
        <f t="shared" si="105"/>
        <v>0</v>
      </c>
      <c r="Q190" s="184">
        <f t="shared" si="105"/>
        <v>0</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0</v>
      </c>
      <c r="I191" s="184"/>
      <c r="J191" s="184">
        <f t="shared" si="105"/>
        <v>0</v>
      </c>
      <c r="K191" s="184">
        <f t="shared" si="105"/>
        <v>0</v>
      </c>
      <c r="L191" s="184">
        <f t="shared" si="105"/>
        <v>0</v>
      </c>
      <c r="M191" s="185">
        <f t="shared" si="105"/>
        <v>0</v>
      </c>
      <c r="N191" s="184">
        <f t="shared" si="105"/>
        <v>0</v>
      </c>
      <c r="O191" s="184">
        <f t="shared" si="105"/>
        <v>0</v>
      </c>
      <c r="P191" s="184">
        <f t="shared" si="105"/>
        <v>0</v>
      </c>
      <c r="Q191" s="184">
        <f t="shared" si="105"/>
        <v>0</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0</v>
      </c>
      <c r="I192" s="184"/>
      <c r="J192" s="184">
        <f t="shared" si="105"/>
        <v>0</v>
      </c>
      <c r="K192" s="184">
        <f t="shared" si="105"/>
        <v>0</v>
      </c>
      <c r="L192" s="184">
        <f t="shared" si="105"/>
        <v>0</v>
      </c>
      <c r="M192" s="185">
        <f t="shared" si="105"/>
        <v>0</v>
      </c>
      <c r="N192" s="184">
        <f t="shared" si="105"/>
        <v>0</v>
      </c>
      <c r="O192" s="184">
        <f t="shared" si="105"/>
        <v>0</v>
      </c>
      <c r="P192" s="184">
        <f t="shared" si="105"/>
        <v>0</v>
      </c>
      <c r="Q192" s="184">
        <f t="shared" si="105"/>
        <v>0</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0</v>
      </c>
      <c r="I193" s="184"/>
      <c r="J193" s="184">
        <f t="shared" si="105"/>
        <v>0</v>
      </c>
      <c r="K193" s="184">
        <f t="shared" si="105"/>
        <v>0</v>
      </c>
      <c r="L193" s="184">
        <f t="shared" si="105"/>
        <v>0</v>
      </c>
      <c r="M193" s="185">
        <f t="shared" si="105"/>
        <v>0</v>
      </c>
      <c r="N193" s="184">
        <f t="shared" si="105"/>
        <v>0</v>
      </c>
      <c r="O193" s="184">
        <f t="shared" si="105"/>
        <v>0</v>
      </c>
      <c r="P193" s="184">
        <f t="shared" si="105"/>
        <v>0</v>
      </c>
      <c r="Q193" s="184">
        <f t="shared" si="105"/>
        <v>0</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0</v>
      </c>
      <c r="I194" s="184"/>
      <c r="J194" s="184">
        <f t="shared" si="105"/>
        <v>0</v>
      </c>
      <c r="K194" s="184">
        <f t="shared" si="105"/>
        <v>0</v>
      </c>
      <c r="L194" s="184">
        <f t="shared" si="105"/>
        <v>0</v>
      </c>
      <c r="M194" s="185">
        <f t="shared" si="105"/>
        <v>0</v>
      </c>
      <c r="N194" s="184">
        <f t="shared" si="105"/>
        <v>0</v>
      </c>
      <c r="O194" s="184">
        <f t="shared" si="105"/>
        <v>0</v>
      </c>
      <c r="P194" s="184">
        <f t="shared" si="105"/>
        <v>0</v>
      </c>
      <c r="Q194" s="184">
        <f t="shared" si="105"/>
        <v>0</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0</v>
      </c>
      <c r="I196" s="247">
        <f t="shared" si="106"/>
        <v>0</v>
      </c>
      <c r="J196" s="184">
        <f t="shared" si="106"/>
        <v>0</v>
      </c>
      <c r="K196" s="184">
        <f t="shared" si="106"/>
        <v>0</v>
      </c>
      <c r="L196" s="184">
        <f t="shared" si="106"/>
        <v>0</v>
      </c>
      <c r="M196" s="185">
        <f t="shared" si="106"/>
        <v>0</v>
      </c>
      <c r="N196" s="184">
        <f t="shared" si="106"/>
        <v>0</v>
      </c>
      <c r="O196" s="184">
        <f t="shared" si="106"/>
        <v>0</v>
      </c>
      <c r="P196" s="184">
        <f t="shared" si="106"/>
        <v>0</v>
      </c>
      <c r="Q196" s="184">
        <f t="shared" si="106"/>
        <v>0</v>
      </c>
      <c r="R196" s="184">
        <f t="shared" si="106"/>
        <v>0</v>
      </c>
    </row>
    <row r="197" spans="1:26" x14ac:dyDescent="0.25">
      <c r="E197" s="7" t="str">
        <f>E$192</f>
        <v>RCV run-off company should have received- real</v>
      </c>
      <c r="F197" s="184">
        <f t="shared" ref="F197:R197" si="107">F$192</f>
        <v>0</v>
      </c>
      <c r="G197" s="7" t="str">
        <f t="shared" si="107"/>
        <v>£m</v>
      </c>
      <c r="H197" s="247">
        <f t="shared" si="107"/>
        <v>0</v>
      </c>
      <c r="I197" s="247">
        <f t="shared" si="107"/>
        <v>0</v>
      </c>
      <c r="J197" s="184">
        <f t="shared" si="107"/>
        <v>0</v>
      </c>
      <c r="K197" s="184">
        <f t="shared" si="107"/>
        <v>0</v>
      </c>
      <c r="L197" s="184">
        <f t="shared" si="107"/>
        <v>0</v>
      </c>
      <c r="M197" s="185">
        <f t="shared" si="107"/>
        <v>0</v>
      </c>
      <c r="N197" s="184">
        <f t="shared" si="107"/>
        <v>0</v>
      </c>
      <c r="O197" s="184">
        <f t="shared" si="107"/>
        <v>0</v>
      </c>
      <c r="P197" s="184">
        <f t="shared" si="107"/>
        <v>0</v>
      </c>
      <c r="Q197" s="184">
        <f t="shared" si="107"/>
        <v>0</v>
      </c>
      <c r="R197" s="184">
        <f t="shared" si="107"/>
        <v>0</v>
      </c>
    </row>
    <row r="198" spans="1:26" x14ac:dyDescent="0.25">
      <c r="C198" s="278"/>
      <c r="E198" s="7" t="s">
        <v>269</v>
      </c>
      <c r="G198" s="7" t="s">
        <v>88</v>
      </c>
      <c r="H198" s="185">
        <f xml:space="preserve"> SUM(J198:R198)</f>
        <v>0</v>
      </c>
      <c r="I198" s="185"/>
      <c r="J198" s="184">
        <f t="shared" ref="J198:K198" si="108">J197-J196</f>
        <v>0</v>
      </c>
      <c r="K198" s="184">
        <f t="shared" si="108"/>
        <v>0</v>
      </c>
      <c r="L198" s="184">
        <f>L197-L196</f>
        <v>0</v>
      </c>
      <c r="M198" s="185">
        <f>M197-M196</f>
        <v>0</v>
      </c>
      <c r="N198" s="184">
        <f t="shared" ref="N198:R198" si="109">N197-N196</f>
        <v>0</v>
      </c>
      <c r="O198" s="184">
        <f t="shared" si="109"/>
        <v>0</v>
      </c>
      <c r="P198" s="184">
        <f t="shared" si="109"/>
        <v>0</v>
      </c>
      <c r="Q198" s="184">
        <f t="shared" si="109"/>
        <v>0</v>
      </c>
      <c r="R198" s="184">
        <f t="shared" si="109"/>
        <v>0</v>
      </c>
    </row>
    <row r="200" spans="1:26" x14ac:dyDescent="0.25">
      <c r="E200" s="7" t="str">
        <f>E$190</f>
        <v>True up Nominal return- real</v>
      </c>
      <c r="F200" s="184">
        <f t="shared" ref="F200:R200" si="110">F$190</f>
        <v>0</v>
      </c>
      <c r="G200" s="7" t="str">
        <f t="shared" si="110"/>
        <v>£m</v>
      </c>
      <c r="H200" s="247">
        <f t="shared" si="110"/>
        <v>0</v>
      </c>
      <c r="I200" s="247">
        <f t="shared" si="110"/>
        <v>0</v>
      </c>
      <c r="J200" s="184">
        <f t="shared" si="110"/>
        <v>0</v>
      </c>
      <c r="K200" s="184">
        <f t="shared" si="110"/>
        <v>0</v>
      </c>
      <c r="L200" s="184">
        <f t="shared" si="110"/>
        <v>0</v>
      </c>
      <c r="M200" s="185">
        <f t="shared" si="110"/>
        <v>0</v>
      </c>
      <c r="N200" s="184">
        <f t="shared" si="110"/>
        <v>0</v>
      </c>
      <c r="O200" s="184">
        <f t="shared" si="110"/>
        <v>0</v>
      </c>
      <c r="P200" s="184">
        <f t="shared" si="110"/>
        <v>0</v>
      </c>
      <c r="Q200" s="184">
        <f t="shared" si="110"/>
        <v>0</v>
      </c>
      <c r="R200" s="184">
        <f t="shared" si="110"/>
        <v>0</v>
      </c>
    </row>
    <row r="201" spans="1:26" x14ac:dyDescent="0.25">
      <c r="E201" s="7" t="str">
        <f>E$193</f>
        <v>Nominal return company should have received- real</v>
      </c>
      <c r="F201" s="184">
        <f t="shared" ref="F201:R201" si="111">F$193</f>
        <v>0</v>
      </c>
      <c r="G201" s="7" t="str">
        <f t="shared" si="111"/>
        <v>£m</v>
      </c>
      <c r="H201" s="247">
        <f t="shared" si="111"/>
        <v>0</v>
      </c>
      <c r="I201" s="247">
        <f t="shared" si="111"/>
        <v>0</v>
      </c>
      <c r="J201" s="184">
        <f t="shared" si="111"/>
        <v>0</v>
      </c>
      <c r="K201" s="184">
        <f t="shared" si="111"/>
        <v>0</v>
      </c>
      <c r="L201" s="184">
        <f t="shared" si="111"/>
        <v>0</v>
      </c>
      <c r="M201" s="185">
        <f t="shared" si="111"/>
        <v>0</v>
      </c>
      <c r="N201" s="184">
        <f t="shared" si="111"/>
        <v>0</v>
      </c>
      <c r="O201" s="184">
        <f t="shared" si="111"/>
        <v>0</v>
      </c>
      <c r="P201" s="184">
        <f t="shared" si="111"/>
        <v>0</v>
      </c>
      <c r="Q201" s="184">
        <f t="shared" si="111"/>
        <v>0</v>
      </c>
      <c r="R201" s="184">
        <f t="shared" si="111"/>
        <v>0</v>
      </c>
    </row>
    <row r="202" spans="1:26" x14ac:dyDescent="0.25">
      <c r="C202" s="278"/>
      <c r="E202" s="7" t="s">
        <v>276</v>
      </c>
      <c r="G202" s="7" t="s">
        <v>88</v>
      </c>
      <c r="H202" s="185">
        <f xml:space="preserve"> SUM(J202:R202)</f>
        <v>0</v>
      </c>
      <c r="I202" s="185"/>
      <c r="J202" s="184">
        <f t="shared" ref="J202:K202" si="112">J201-J200</f>
        <v>0</v>
      </c>
      <c r="K202" s="184">
        <f t="shared" si="112"/>
        <v>0</v>
      </c>
      <c r="L202" s="184">
        <f>L201-L200</f>
        <v>0</v>
      </c>
      <c r="M202" s="185">
        <f>M201-M200</f>
        <v>0</v>
      </c>
      <c r="N202" s="184">
        <f t="shared" ref="N202:R202" si="113">N201-N200</f>
        <v>0</v>
      </c>
      <c r="O202" s="184">
        <f>O201-O200</f>
        <v>0</v>
      </c>
      <c r="P202" s="184">
        <f t="shared" si="113"/>
        <v>0</v>
      </c>
      <c r="Q202" s="184">
        <f t="shared" si="113"/>
        <v>0</v>
      </c>
      <c r="R202" s="184">
        <f t="shared" si="113"/>
        <v>0</v>
      </c>
    </row>
    <row r="204" spans="1:26" x14ac:dyDescent="0.25">
      <c r="E204" s="7" t="str">
        <f>E$191</f>
        <v>Total True up Nominal revenue to company- real</v>
      </c>
      <c r="F204" s="184">
        <f t="shared" ref="F204:R204" si="114">F$191</f>
        <v>0</v>
      </c>
      <c r="G204" s="7" t="str">
        <f t="shared" si="114"/>
        <v>£m</v>
      </c>
      <c r="H204" s="247">
        <f t="shared" si="114"/>
        <v>0</v>
      </c>
      <c r="I204" s="247"/>
      <c r="J204" s="184">
        <f t="shared" si="114"/>
        <v>0</v>
      </c>
      <c r="K204" s="184">
        <f t="shared" si="114"/>
        <v>0</v>
      </c>
      <c r="L204" s="184">
        <f t="shared" si="114"/>
        <v>0</v>
      </c>
      <c r="M204" s="185">
        <f t="shared" si="114"/>
        <v>0</v>
      </c>
      <c r="N204" s="184">
        <f t="shared" si="114"/>
        <v>0</v>
      </c>
      <c r="O204" s="184">
        <f t="shared" si="114"/>
        <v>0</v>
      </c>
      <c r="P204" s="184">
        <f t="shared" si="114"/>
        <v>0</v>
      </c>
      <c r="Q204" s="184">
        <f t="shared" si="114"/>
        <v>0</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0</v>
      </c>
      <c r="I205" s="247"/>
      <c r="J205" s="184">
        <f t="shared" si="115"/>
        <v>0</v>
      </c>
      <c r="K205" s="184">
        <f t="shared" si="115"/>
        <v>0</v>
      </c>
      <c r="L205" s="184">
        <f t="shared" si="115"/>
        <v>0</v>
      </c>
      <c r="M205" s="185">
        <f t="shared" si="115"/>
        <v>0</v>
      </c>
      <c r="N205" s="184">
        <f t="shared" si="115"/>
        <v>0</v>
      </c>
      <c r="O205" s="184">
        <f t="shared" si="115"/>
        <v>0</v>
      </c>
      <c r="P205" s="184">
        <f t="shared" si="115"/>
        <v>0</v>
      </c>
      <c r="Q205" s="184">
        <f t="shared" si="115"/>
        <v>0</v>
      </c>
      <c r="R205" s="184">
        <f t="shared" si="115"/>
        <v>0</v>
      </c>
    </row>
    <row r="206" spans="1:26" x14ac:dyDescent="0.25">
      <c r="C206" s="278"/>
      <c r="E206" s="7" t="s">
        <v>322</v>
      </c>
      <c r="G206" s="7" t="s">
        <v>88</v>
      </c>
      <c r="H206" s="185">
        <f xml:space="preserve"> SUM(J206:R206)</f>
        <v>0</v>
      </c>
      <c r="I206" s="185"/>
      <c r="J206" s="184">
        <f t="shared" ref="J206:K206" si="116">J205-J204</f>
        <v>0</v>
      </c>
      <c r="K206" s="184">
        <f t="shared" si="116"/>
        <v>0</v>
      </c>
      <c r="L206" s="184">
        <f>L205-L204</f>
        <v>0</v>
      </c>
      <c r="M206" s="185">
        <f>M205-M204</f>
        <v>0</v>
      </c>
      <c r="N206" s="184">
        <f t="shared" ref="N206:R206" si="117">N205-N204</f>
        <v>0</v>
      </c>
      <c r="O206" s="184">
        <f t="shared" si="117"/>
        <v>0</v>
      </c>
      <c r="P206" s="184">
        <f t="shared" si="117"/>
        <v>0</v>
      </c>
      <c r="Q206" s="184">
        <f t="shared" si="117"/>
        <v>0</v>
      </c>
      <c r="R206" s="184">
        <f t="shared" si="117"/>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InpR!E$112</f>
        <v>WACC real on RCV - CPI(H) bf and additions - DMMY</v>
      </c>
      <c r="F210" s="205">
        <f>InpR!F$112</f>
        <v>0</v>
      </c>
      <c r="G210" s="223" t="str">
        <f>InpR!G$112</f>
        <v>%</v>
      </c>
      <c r="H210" s="205" t="str">
        <f>InpR!I$112</f>
        <v>PR19 Financial model, 'Dummy Control' sheet row 860</v>
      </c>
      <c r="I210" s="205" t="e">
        <f>InpR!#REF!</f>
        <v>#REF!</v>
      </c>
      <c r="J210" s="205">
        <f>InpR!J$112</f>
        <v>0</v>
      </c>
      <c r="K210" s="205">
        <f>InpR!K$112</f>
        <v>0</v>
      </c>
      <c r="L210" s="205">
        <f>InpR!L$112</f>
        <v>0</v>
      </c>
      <c r="M210" s="205">
        <f>InpR!M$112</f>
        <v>0</v>
      </c>
      <c r="N210" s="205">
        <f>InpR!N$112</f>
        <v>0</v>
      </c>
      <c r="O210" s="205">
        <f>InpR!O$112</f>
        <v>0</v>
      </c>
      <c r="P210" s="205">
        <f>InpR!P$112</f>
        <v>0</v>
      </c>
      <c r="Q210" s="205">
        <f>InpR!Q$112</f>
        <v>0</v>
      </c>
      <c r="R210" s="205">
        <f>InpR!R$112</f>
        <v>0</v>
      </c>
    </row>
    <row r="211" spans="1:18" x14ac:dyDescent="0.25">
      <c r="E211" s="7" t="s">
        <v>272</v>
      </c>
      <c r="G211" s="7" t="s">
        <v>273</v>
      </c>
      <c r="J211" s="255">
        <f xml:space="preserve"> (1 + J$210) ^ J$209</f>
        <v>1</v>
      </c>
      <c r="K211" s="255">
        <f t="shared" ref="K211:R211" si="118" xml:space="preserve"> (1 + K$210) ^ K$209</f>
        <v>1</v>
      </c>
      <c r="L211" s="255">
        <f t="shared" si="118"/>
        <v>1</v>
      </c>
      <c r="M211" s="255">
        <f t="shared" si="118"/>
        <v>1</v>
      </c>
      <c r="N211" s="255">
        <f t="shared" si="118"/>
        <v>1</v>
      </c>
      <c r="O211" s="255">
        <f t="shared" si="118"/>
        <v>1</v>
      </c>
      <c r="P211" s="255">
        <f t="shared" si="118"/>
        <v>1</v>
      </c>
      <c r="Q211" s="255">
        <f t="shared" si="118"/>
        <v>1</v>
      </c>
      <c r="R211" s="255">
        <f t="shared" si="118"/>
        <v>1</v>
      </c>
    </row>
    <row r="213" spans="1:18" x14ac:dyDescent="0.25">
      <c r="B213" s="61" t="s">
        <v>274</v>
      </c>
    </row>
    <row r="214" spans="1:18" x14ac:dyDescent="0.25">
      <c r="E214" s="7" t="str">
        <f>E$198</f>
        <v>Value of True up run-off - real</v>
      </c>
      <c r="F214" s="184">
        <f t="shared" ref="F214:R214" si="119">F$198</f>
        <v>0</v>
      </c>
      <c r="G214" s="7" t="str">
        <f t="shared" si="119"/>
        <v>£m</v>
      </c>
      <c r="H214" s="247">
        <f t="shared" si="119"/>
        <v>0</v>
      </c>
      <c r="I214" s="247">
        <f t="shared" si="119"/>
        <v>0</v>
      </c>
      <c r="J214" s="184">
        <f t="shared" si="119"/>
        <v>0</v>
      </c>
      <c r="K214" s="184">
        <f t="shared" si="119"/>
        <v>0</v>
      </c>
      <c r="L214" s="184">
        <f t="shared" si="119"/>
        <v>0</v>
      </c>
      <c r="M214" s="185">
        <f t="shared" si="119"/>
        <v>0</v>
      </c>
      <c r="N214" s="184">
        <f t="shared" si="119"/>
        <v>0</v>
      </c>
      <c r="O214" s="184">
        <f t="shared" si="119"/>
        <v>0</v>
      </c>
      <c r="P214" s="184">
        <f t="shared" si="119"/>
        <v>0</v>
      </c>
      <c r="Q214" s="184">
        <f t="shared" si="119"/>
        <v>0</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v>
      </c>
      <c r="N215" s="184">
        <f t="shared" si="120"/>
        <v>1</v>
      </c>
      <c r="O215" s="184">
        <f t="shared" si="120"/>
        <v>1</v>
      </c>
      <c r="P215" s="184">
        <f t="shared" si="120"/>
        <v>1</v>
      </c>
      <c r="Q215" s="184">
        <f t="shared" si="120"/>
        <v>1</v>
      </c>
      <c r="R215" s="184">
        <f t="shared" si="120"/>
        <v>1</v>
      </c>
    </row>
    <row r="216" spans="1:18" s="34" customFormat="1" x14ac:dyDescent="0.25">
      <c r="A216" s="265"/>
      <c r="B216" s="266"/>
      <c r="C216" s="267"/>
      <c r="D216" s="268"/>
      <c r="E216" s="34" t="s">
        <v>366</v>
      </c>
      <c r="G216" s="34" t="s">
        <v>88</v>
      </c>
      <c r="H216" s="271">
        <f xml:space="preserve"> SUM(J216:R216)</f>
        <v>0</v>
      </c>
      <c r="J216" s="271">
        <f xml:space="preserve"> J214 * J215</f>
        <v>0</v>
      </c>
      <c r="K216" s="271">
        <f t="shared" ref="K216:R216" si="121" xml:space="preserve"> K214 * K215</f>
        <v>0</v>
      </c>
      <c r="L216" s="271">
        <f t="shared" si="121"/>
        <v>0</v>
      </c>
      <c r="M216" s="277">
        <f t="shared" si="121"/>
        <v>0</v>
      </c>
      <c r="N216" s="271">
        <f t="shared" si="121"/>
        <v>0</v>
      </c>
      <c r="O216" s="271">
        <f t="shared" si="121"/>
        <v>0</v>
      </c>
      <c r="P216" s="271">
        <f t="shared" si="121"/>
        <v>0</v>
      </c>
      <c r="Q216" s="271">
        <f t="shared" si="121"/>
        <v>0</v>
      </c>
      <c r="R216" s="271">
        <f t="shared" si="121"/>
        <v>0</v>
      </c>
    </row>
    <row r="218" spans="1:18" x14ac:dyDescent="0.25">
      <c r="B218" s="61" t="s">
        <v>275</v>
      </c>
    </row>
    <row r="219" spans="1:18" x14ac:dyDescent="0.25">
      <c r="E219" s="7" t="str">
        <f>E202</f>
        <v>Value of True up return - real</v>
      </c>
      <c r="F219" s="184">
        <f t="shared" ref="F219:R219" si="122">F202</f>
        <v>0</v>
      </c>
      <c r="G219" s="7" t="str">
        <f t="shared" si="122"/>
        <v>£m</v>
      </c>
      <c r="H219" s="247">
        <f t="shared" si="122"/>
        <v>0</v>
      </c>
      <c r="I219" s="247">
        <f t="shared" si="122"/>
        <v>0</v>
      </c>
      <c r="J219" s="184">
        <f t="shared" si="122"/>
        <v>0</v>
      </c>
      <c r="K219" s="184">
        <f t="shared" si="122"/>
        <v>0</v>
      </c>
      <c r="L219" s="184">
        <f t="shared" si="122"/>
        <v>0</v>
      </c>
      <c r="M219" s="185">
        <f t="shared" si="122"/>
        <v>0</v>
      </c>
      <c r="N219" s="184">
        <f t="shared" si="122"/>
        <v>0</v>
      </c>
      <c r="O219" s="184">
        <f t="shared" si="122"/>
        <v>0</v>
      </c>
      <c r="P219" s="184">
        <f t="shared" si="122"/>
        <v>0</v>
      </c>
      <c r="Q219" s="184">
        <f t="shared" si="122"/>
        <v>0</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v>
      </c>
      <c r="N220" s="184">
        <f t="shared" si="123"/>
        <v>1</v>
      </c>
      <c r="O220" s="184">
        <f t="shared" si="123"/>
        <v>1</v>
      </c>
      <c r="P220" s="184">
        <f t="shared" si="123"/>
        <v>1</v>
      </c>
      <c r="Q220" s="184">
        <f t="shared" si="123"/>
        <v>1</v>
      </c>
      <c r="R220" s="184">
        <f t="shared" si="123"/>
        <v>1</v>
      </c>
    </row>
    <row r="221" spans="1:18" s="34" customFormat="1" x14ac:dyDescent="0.25">
      <c r="A221" s="265"/>
      <c r="B221" s="266"/>
      <c r="C221" s="267"/>
      <c r="D221" s="268"/>
      <c r="E221" s="34" t="s">
        <v>367</v>
      </c>
      <c r="G221" s="34" t="s">
        <v>88</v>
      </c>
      <c r="H221" s="271">
        <f xml:space="preserve"> SUM(J221:R221)</f>
        <v>0</v>
      </c>
      <c r="J221" s="271">
        <f xml:space="preserve"> J219 * J220</f>
        <v>0</v>
      </c>
      <c r="K221" s="271">
        <f t="shared" ref="K221:M221" si="124" xml:space="preserve"> K219 * K220</f>
        <v>0</v>
      </c>
      <c r="L221" s="271">
        <f t="shared" si="124"/>
        <v>0</v>
      </c>
      <c r="M221" s="277">
        <f t="shared" si="124"/>
        <v>0</v>
      </c>
      <c r="N221" s="271">
        <f xml:space="preserve"> N219 * N220</f>
        <v>0</v>
      </c>
      <c r="O221" s="271">
        <f t="shared" ref="O221:R221" si="125" xml:space="preserve"> O219 * O220</f>
        <v>0</v>
      </c>
      <c r="P221" s="271">
        <f t="shared" si="125"/>
        <v>0</v>
      </c>
      <c r="Q221" s="271">
        <f t="shared" si="125"/>
        <v>0</v>
      </c>
      <c r="R221" s="271">
        <f t="shared" si="125"/>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22" priority="4" stopIfTrue="1" operator="notEqual">
      <formula>0</formula>
    </cfRule>
    <cfRule type="cellIs" dxfId="21" priority="5" stopIfTrue="1" operator="equal">
      <formula>""</formula>
    </cfRule>
  </conditionalFormatting>
  <conditionalFormatting sqref="F165">
    <cfRule type="cellIs" dxfId="20" priority="2" stopIfTrue="1" operator="notEqual">
      <formula>0</formula>
    </cfRule>
    <cfRule type="cellIs" dxfId="19" priority="3" stopIfTrue="1" operator="equal">
      <formula>""</formula>
    </cfRule>
  </conditionalFormatting>
  <conditionalFormatting sqref="J3:Z3">
    <cfRule type="cellIs" dxfId="18" priority="8" operator="equal">
      <formula>"Post-Fcst"</formula>
    </cfRule>
    <cfRule type="cellIs" dxfId="17" priority="9" operator="equal">
      <formula>"Forecast"</formula>
    </cfRule>
    <cfRule type="cellIs" dxfId="16" priority="10" operator="equal">
      <formula>"Pre Fcst"</formula>
    </cfRule>
  </conditionalFormatting>
  <conditionalFormatting sqref="J165:XFD165">
    <cfRule type="cellIs" dxfId="15" priority="6" stopIfTrue="1" operator="notEqual">
      <formula>0</formula>
    </cfRule>
    <cfRule type="cellIs" dxfId="14"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zoomScaleNormal="100" workbookViewId="0">
      <selection activeCell="M9" activeCellId="3" sqref="M24:Q25 M19:Q20 M14:Q15 M9:Q10"/>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53.33203125" style="7"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348</v>
      </c>
    </row>
    <row r="8" spans="1:26" s="92" customFormat="1" x14ac:dyDescent="0.25">
      <c r="A8" s="164"/>
      <c r="B8" s="165"/>
      <c r="C8" s="166"/>
      <c r="D8" s="167"/>
      <c r="E8" s="30" t="str">
        <f>'Calcs-WR'!E$178</f>
        <v>RCV adjustment at end of period - real - WR</v>
      </c>
      <c r="F8" s="249"/>
      <c r="G8" s="249" t="str">
        <f>'Calcs-WR'!G$178</f>
        <v>£m</v>
      </c>
      <c r="H8" s="281">
        <f>'Calcs-WR'!H$178</f>
        <v>0</v>
      </c>
      <c r="I8" s="281"/>
      <c r="J8" s="281">
        <f>'Calcs-WR'!J$178</f>
        <v>0</v>
      </c>
      <c r="K8" s="281">
        <f>'Calcs-WR'!K$178</f>
        <v>0</v>
      </c>
      <c r="L8" s="281">
        <f>'Calcs-WR'!L$178</f>
        <v>0</v>
      </c>
      <c r="M8" s="281">
        <f>'Calcs-WR'!M$178</f>
        <v>0</v>
      </c>
      <c r="N8" s="281">
        <f>'Calcs-WR'!N$178</f>
        <v>0</v>
      </c>
      <c r="O8" s="281">
        <f>'Calcs-WR'!O$178</f>
        <v>0</v>
      </c>
      <c r="P8" s="281">
        <f>'Calcs-WR'!P$178</f>
        <v>0</v>
      </c>
      <c r="Q8" s="281">
        <f>'Calcs-WR'!Q$178</f>
        <v>4.7165792097577111</v>
      </c>
      <c r="R8" s="281">
        <f>'Calcs-WR'!R$178</f>
        <v>0</v>
      </c>
    </row>
    <row r="9" spans="1:26" s="92" customFormat="1" x14ac:dyDescent="0.25">
      <c r="A9" s="164"/>
      <c r="B9" s="165"/>
      <c r="C9" s="166"/>
      <c r="D9" s="167"/>
      <c r="E9" s="30" t="str">
        <f>'Calcs-WR'!E$216</f>
        <v>Revenue adjustment for RCV run-off - real - WR</v>
      </c>
      <c r="F9" s="249"/>
      <c r="G9" s="249" t="str">
        <f>'Calcs-WR'!G$216</f>
        <v>£m</v>
      </c>
      <c r="H9" s="281">
        <f>'Calcs-WR'!H$216</f>
        <v>0.55345539127301591</v>
      </c>
      <c r="I9" s="281"/>
      <c r="J9" s="281">
        <f>'Calcs-WR'!J$216</f>
        <v>0</v>
      </c>
      <c r="K9" s="281">
        <f>'Calcs-WR'!K$216</f>
        <v>0</v>
      </c>
      <c r="L9" s="281">
        <f>'Calcs-WR'!L$216</f>
        <v>0</v>
      </c>
      <c r="M9" s="281">
        <f>'Calcs-WR'!M$216</f>
        <v>-1.6377007733449273E-2</v>
      </c>
      <c r="N9" s="281">
        <f>'Calcs-WR'!N$216</f>
        <v>3.1357788084908418E-2</v>
      </c>
      <c r="O9" s="281">
        <f>'Calcs-WR'!O$216</f>
        <v>0.14667644845798883</v>
      </c>
      <c r="P9" s="281">
        <f>'Calcs-WR'!P$216</f>
        <v>0.19594299165734291</v>
      </c>
      <c r="Q9" s="281">
        <f>'Calcs-WR'!Q$216</f>
        <v>0.19585517080622505</v>
      </c>
      <c r="R9" s="281">
        <f>'Calcs-WR'!R$216</f>
        <v>0</v>
      </c>
    </row>
    <row r="10" spans="1:26" s="92" customFormat="1" x14ac:dyDescent="0.25">
      <c r="A10" s="164"/>
      <c r="B10" s="165"/>
      <c r="C10" s="166"/>
      <c r="D10" s="167"/>
      <c r="E10" s="30" t="str">
        <f>'Calcs-WR'!E$221</f>
        <v>Revenue adjustment for return - real -WR</v>
      </c>
      <c r="F10" s="249"/>
      <c r="G10" s="249" t="str">
        <f>'Calcs-WR'!G$221</f>
        <v>£m</v>
      </c>
      <c r="H10" s="281">
        <f>'Calcs-WR'!H$221</f>
        <v>0.2559509403097614</v>
      </c>
      <c r="I10" s="281"/>
      <c r="J10" s="281">
        <f>'Calcs-WR'!J$221</f>
        <v>0</v>
      </c>
      <c r="K10" s="281">
        <f>'Calcs-WR'!K$221</f>
        <v>0</v>
      </c>
      <c r="L10" s="281">
        <f>'Calcs-WR'!L$221</f>
        <v>0</v>
      </c>
      <c r="M10" s="281">
        <f>'Calcs-WR'!M$221</f>
        <v>-7.5737098146159273E-3</v>
      </c>
      <c r="N10" s="281">
        <f>'Calcs-WR'!N$221</f>
        <v>1.450172041491154E-2</v>
      </c>
      <c r="O10" s="281">
        <f>'Calcs-WR'!O$221</f>
        <v>6.7831979769439624E-2</v>
      </c>
      <c r="P10" s="281">
        <f>'Calcs-WR'!P$221</f>
        <v>9.0615781782248619E-2</v>
      </c>
      <c r="Q10" s="281">
        <f>'Calcs-WR'!Q$221</f>
        <v>9.0575168157777552E-2</v>
      </c>
      <c r="R10" s="281">
        <f>'Calcs-WR'!R$221</f>
        <v>0</v>
      </c>
    </row>
    <row r="11" spans="1:26" s="92" customFormat="1" x14ac:dyDescent="0.25">
      <c r="A11" s="164"/>
      <c r="B11" s="165"/>
      <c r="C11" s="166"/>
      <c r="D11" s="167"/>
      <c r="E11" s="30"/>
      <c r="F11" s="249"/>
      <c r="G11" s="249"/>
      <c r="H11" s="281"/>
      <c r="I11" s="281"/>
      <c r="J11" s="281"/>
      <c r="K11" s="281"/>
      <c r="L11" s="281"/>
      <c r="M11" s="281"/>
      <c r="N11" s="281"/>
      <c r="O11" s="281"/>
      <c r="P11" s="281"/>
      <c r="Q11" s="281"/>
      <c r="R11" s="281"/>
    </row>
    <row r="12" spans="1:26" x14ac:dyDescent="0.25">
      <c r="B12" s="61" t="s">
        <v>349</v>
      </c>
    </row>
    <row r="13" spans="1:26" s="92" customFormat="1" x14ac:dyDescent="0.25">
      <c r="A13" s="164"/>
      <c r="B13" s="165"/>
      <c r="C13" s="166"/>
      <c r="D13" s="167"/>
      <c r="E13" s="30" t="str">
        <f>'Calcs-WN'!E$178</f>
        <v>RCV adjustment at end of period - real -WN</v>
      </c>
      <c r="F13" s="249"/>
      <c r="G13" s="249" t="str">
        <f>'Calcs-WN'!G$178</f>
        <v>£m</v>
      </c>
      <c r="H13" s="281">
        <f>'Calcs-WN'!H$178</f>
        <v>0</v>
      </c>
      <c r="I13" s="281"/>
      <c r="J13" s="281">
        <f>'Calcs-WN'!J$178</f>
        <v>0</v>
      </c>
      <c r="K13" s="281">
        <f>'Calcs-WN'!K$178</f>
        <v>0</v>
      </c>
      <c r="L13" s="281">
        <f>'Calcs-WN'!L$178</f>
        <v>0</v>
      </c>
      <c r="M13" s="281">
        <f>'Calcs-WN'!M$178</f>
        <v>0</v>
      </c>
      <c r="N13" s="281">
        <f>'Calcs-WN'!N$178</f>
        <v>0</v>
      </c>
      <c r="O13" s="281">
        <f>'Calcs-WN'!O$178</f>
        <v>0</v>
      </c>
      <c r="P13" s="281">
        <f>'Calcs-WN'!P$178</f>
        <v>0</v>
      </c>
      <c r="Q13" s="281">
        <f>'Calcs-WN'!Q$178</f>
        <v>38.675357515712221</v>
      </c>
      <c r="R13" s="281">
        <f>'Calcs-WN'!R$178</f>
        <v>0</v>
      </c>
    </row>
    <row r="14" spans="1:26" s="92" customFormat="1" x14ac:dyDescent="0.25">
      <c r="A14" s="164"/>
      <c r="B14" s="165"/>
      <c r="C14" s="166"/>
      <c r="D14" s="167"/>
      <c r="E14" s="30" t="str">
        <f>'Calcs-WN'!E$216</f>
        <v>Revenue adjustment for RCV run-off - real - WN</v>
      </c>
      <c r="F14" s="249"/>
      <c r="G14" s="249" t="str">
        <f>'Calcs-WN'!G$216</f>
        <v>£m</v>
      </c>
      <c r="H14" s="281">
        <f>'Calcs-WN'!H$216</f>
        <v>5.3388218398302811</v>
      </c>
      <c r="I14" s="281"/>
      <c r="J14" s="281">
        <f>'Calcs-WN'!J$216</f>
        <v>0</v>
      </c>
      <c r="K14" s="281">
        <f>'Calcs-WN'!K$216</f>
        <v>0</v>
      </c>
      <c r="L14" s="281">
        <f>'Calcs-WN'!L$216</f>
        <v>0</v>
      </c>
      <c r="M14" s="281">
        <f>'Calcs-WN'!M$216</f>
        <v>-0.16140552702252239</v>
      </c>
      <c r="N14" s="281">
        <f>'Calcs-WN'!N$216</f>
        <v>0.30689192734228671</v>
      </c>
      <c r="O14" s="281">
        <f>'Calcs-WN'!O$216</f>
        <v>1.4254652192527277</v>
      </c>
      <c r="P14" s="281">
        <f>'Calcs-WN'!P$216</f>
        <v>1.8909592493812242</v>
      </c>
      <c r="Q14" s="281">
        <f>'Calcs-WN'!Q$216</f>
        <v>1.8769109708765654</v>
      </c>
      <c r="R14" s="281">
        <f>'Calcs-WN'!R$216</f>
        <v>0</v>
      </c>
    </row>
    <row r="15" spans="1:26" s="92" customFormat="1" x14ac:dyDescent="0.25">
      <c r="A15" s="164"/>
      <c r="B15" s="165"/>
      <c r="C15" s="166"/>
      <c r="D15" s="167"/>
      <c r="E15" s="30" t="str">
        <f>'Calcs-WN'!E$221</f>
        <v>Revenue adjustment for return - real - WN</v>
      </c>
      <c r="F15" s="249"/>
      <c r="G15" s="249" t="str">
        <f>'Calcs-WN'!G$221</f>
        <v>£m</v>
      </c>
      <c r="H15" s="281">
        <f>'Calcs-WN'!H$221</f>
        <v>2.1126040558391472</v>
      </c>
      <c r="I15" s="281"/>
      <c r="J15" s="281">
        <f>'Calcs-WN'!J$221</f>
        <v>0</v>
      </c>
      <c r="K15" s="281">
        <f>'Calcs-WN'!K$221</f>
        <v>0</v>
      </c>
      <c r="L15" s="281">
        <f>'Calcs-WN'!L$221</f>
        <v>0</v>
      </c>
      <c r="M15" s="281">
        <f>'Calcs-WN'!M$221</f>
        <v>-6.3869142153933536E-2</v>
      </c>
      <c r="N15" s="281">
        <f>'Calcs-WN'!N$221</f>
        <v>0.12143898969819078</v>
      </c>
      <c r="O15" s="281">
        <f>'Calcs-WN'!O$221</f>
        <v>0.5640651990265082</v>
      </c>
      <c r="P15" s="281">
        <f>'Calcs-WN'!P$221</f>
        <v>0.74826399897178364</v>
      </c>
      <c r="Q15" s="281">
        <f>'Calcs-WN'!Q$221</f>
        <v>0.74270501029659819</v>
      </c>
      <c r="R15" s="281">
        <f>'Calcs-WN'!R$221</f>
        <v>0</v>
      </c>
    </row>
    <row r="16" spans="1:26" s="92" customFormat="1" x14ac:dyDescent="0.25">
      <c r="A16" s="164"/>
      <c r="B16" s="165"/>
      <c r="C16" s="166"/>
      <c r="D16" s="167"/>
      <c r="E16" s="30"/>
      <c r="F16" s="249"/>
      <c r="G16" s="249"/>
      <c r="H16" s="281"/>
      <c r="I16" s="281"/>
      <c r="J16" s="281"/>
      <c r="K16" s="281"/>
      <c r="L16" s="281"/>
      <c r="M16" s="281"/>
      <c r="N16" s="281"/>
      <c r="O16" s="281"/>
      <c r="P16" s="281"/>
      <c r="Q16" s="281"/>
      <c r="R16" s="281"/>
    </row>
    <row r="17" spans="1:18" x14ac:dyDescent="0.25">
      <c r="B17" s="61" t="s">
        <v>350</v>
      </c>
    </row>
    <row r="18" spans="1:18" s="92" customFormat="1" x14ac:dyDescent="0.25">
      <c r="A18" s="164"/>
      <c r="B18" s="165"/>
      <c r="C18" s="166"/>
      <c r="D18" s="167"/>
      <c r="E18" s="30" t="str">
        <f>'Calcs-WWN'!E$178</f>
        <v>RCV adjustment at end of period - real - WWN</v>
      </c>
      <c r="F18" s="249"/>
      <c r="G18" s="249" t="str">
        <f>'Calcs-WWN'!G$178</f>
        <v>£m</v>
      </c>
      <c r="H18" s="281">
        <f>'Calcs-WWN'!H$178</f>
        <v>0</v>
      </c>
      <c r="I18" s="281"/>
      <c r="J18" s="281">
        <f>'Calcs-WWN'!J$178</f>
        <v>0</v>
      </c>
      <c r="K18" s="281">
        <f>'Calcs-WWN'!K$178</f>
        <v>0</v>
      </c>
      <c r="L18" s="281">
        <f>'Calcs-WWN'!L$178</f>
        <v>0</v>
      </c>
      <c r="M18" s="281">
        <f>'Calcs-WWN'!M$178</f>
        <v>0</v>
      </c>
      <c r="N18" s="281">
        <f>'Calcs-WWN'!N$178</f>
        <v>0</v>
      </c>
      <c r="O18" s="281">
        <f>'Calcs-WWN'!O$178</f>
        <v>0</v>
      </c>
      <c r="P18" s="281">
        <f>'Calcs-WWN'!P$178</f>
        <v>0</v>
      </c>
      <c r="Q18" s="281">
        <f>'Calcs-WWN'!Q$178</f>
        <v>88.566365220091711</v>
      </c>
      <c r="R18" s="281">
        <f>'Calcs-WWN'!R$178</f>
        <v>0</v>
      </c>
    </row>
    <row r="19" spans="1:18" s="92" customFormat="1" x14ac:dyDescent="0.25">
      <c r="A19" s="164"/>
      <c r="B19" s="165"/>
      <c r="C19" s="166"/>
      <c r="D19" s="167"/>
      <c r="E19" s="30" t="str">
        <f>'Calcs-WWN'!E$216</f>
        <v>Revenue adjustment for RCV run-off - real - WWN</v>
      </c>
      <c r="F19" s="249"/>
      <c r="G19" s="249" t="str">
        <f>'Calcs-WWN'!G$216</f>
        <v>£m</v>
      </c>
      <c r="H19" s="281">
        <f>'Calcs-WWN'!H$216</f>
        <v>9.3421130724229897</v>
      </c>
      <c r="I19" s="281"/>
      <c r="J19" s="281">
        <f>'Calcs-WWN'!J$216</f>
        <v>0</v>
      </c>
      <c r="K19" s="281">
        <f>'Calcs-WWN'!K$216</f>
        <v>0</v>
      </c>
      <c r="L19" s="281">
        <f>'Calcs-WWN'!L$216</f>
        <v>0</v>
      </c>
      <c r="M19" s="281">
        <f>'Calcs-WWN'!M$216</f>
        <v>-0.27302077571451067</v>
      </c>
      <c r="N19" s="281">
        <f>'Calcs-WWN'!N$216</f>
        <v>0.52489031100181527</v>
      </c>
      <c r="O19" s="281">
        <f>'Calcs-WWN'!O$216</f>
        <v>2.4651622815864234</v>
      </c>
      <c r="P19" s="281">
        <f>'Calcs-WWN'!P$216</f>
        <v>3.3065634150234251</v>
      </c>
      <c r="Q19" s="281">
        <f>'Calcs-WWN'!Q$216</f>
        <v>3.3185178405258355</v>
      </c>
      <c r="R19" s="281">
        <f>'Calcs-WWN'!R$216</f>
        <v>0</v>
      </c>
    </row>
    <row r="20" spans="1:18" s="92" customFormat="1" x14ac:dyDescent="0.25">
      <c r="A20" s="164"/>
      <c r="B20" s="165"/>
      <c r="C20" s="166"/>
      <c r="D20" s="167"/>
      <c r="E20" s="30" t="str">
        <f>'Calcs-WWN'!E$221</f>
        <v>Revenue adjustment for return - real - WWN</v>
      </c>
      <c r="F20" s="249"/>
      <c r="G20" s="249" t="str">
        <f>'Calcs-WWN'!G$221</f>
        <v>£m</v>
      </c>
      <c r="H20" s="281">
        <f>'Calcs-WWN'!H$221</f>
        <v>4.7879741927049508</v>
      </c>
      <c r="I20" s="281"/>
      <c r="J20" s="281">
        <f>'Calcs-WWN'!J$221</f>
        <v>0</v>
      </c>
      <c r="K20" s="281">
        <f>'Calcs-WWN'!K$221</f>
        <v>0</v>
      </c>
      <c r="L20" s="281">
        <f>'Calcs-WWN'!L$221</f>
        <v>0</v>
      </c>
      <c r="M20" s="281">
        <f>'Calcs-WWN'!M$221</f>
        <v>-0.13992727534545474</v>
      </c>
      <c r="N20" s="281">
        <f>'Calcs-WWN'!N$221</f>
        <v>0.26901422018709858</v>
      </c>
      <c r="O20" s="281">
        <f>'Calcs-WWN'!O$221</f>
        <v>1.2634329400172948</v>
      </c>
      <c r="P20" s="281">
        <f>'Calcs-WWN'!P$221</f>
        <v>1.69466374201874</v>
      </c>
      <c r="Q20" s="281">
        <f>'Calcs-WWN'!Q$221</f>
        <v>1.7007905658272726</v>
      </c>
      <c r="R20" s="281">
        <f>'Calcs-WWN'!R$221</f>
        <v>0</v>
      </c>
    </row>
    <row r="21" spans="1:18" s="92" customFormat="1" x14ac:dyDescent="0.25">
      <c r="A21" s="164"/>
      <c r="B21" s="165"/>
      <c r="C21" s="166"/>
      <c r="D21" s="167"/>
      <c r="E21" s="30"/>
      <c r="F21" s="249"/>
      <c r="G21" s="249"/>
      <c r="H21" s="281"/>
      <c r="I21" s="281"/>
      <c r="J21" s="281"/>
      <c r="K21" s="281"/>
      <c r="L21" s="281"/>
      <c r="M21" s="281"/>
      <c r="N21" s="281"/>
      <c r="O21" s="281"/>
      <c r="P21" s="281"/>
      <c r="Q21" s="281"/>
      <c r="R21" s="281"/>
    </row>
    <row r="22" spans="1:18" x14ac:dyDescent="0.25">
      <c r="B22" s="61" t="s">
        <v>351</v>
      </c>
    </row>
    <row r="23" spans="1:18" s="92" customFormat="1" x14ac:dyDescent="0.25">
      <c r="A23" s="164"/>
      <c r="B23" s="165"/>
      <c r="C23" s="166"/>
      <c r="D23" s="167"/>
      <c r="E23" s="30" t="str">
        <f>'Calcs-BR'!E$178</f>
        <v>RCV adjustment at end of period - real - BR</v>
      </c>
      <c r="F23" s="249"/>
      <c r="G23" s="249" t="str">
        <f>'Calcs-BR'!G$178</f>
        <v>£m</v>
      </c>
      <c r="H23" s="281">
        <f>'Calcs-BR'!H$178</f>
        <v>0</v>
      </c>
      <c r="I23" s="281"/>
      <c r="J23" s="281">
        <f>'Calcs-BR'!J$178</f>
        <v>0</v>
      </c>
      <c r="K23" s="281">
        <f>'Calcs-BR'!K$178</f>
        <v>0</v>
      </c>
      <c r="L23" s="281">
        <f>'Calcs-BR'!L$178</f>
        <v>0</v>
      </c>
      <c r="M23" s="281">
        <f>'Calcs-BR'!M$178</f>
        <v>0</v>
      </c>
      <c r="N23" s="281">
        <f>'Calcs-BR'!N$178</f>
        <v>0</v>
      </c>
      <c r="O23" s="281">
        <f>'Calcs-BR'!O$178</f>
        <v>0</v>
      </c>
      <c r="P23" s="281">
        <f>'Calcs-BR'!P$178</f>
        <v>0</v>
      </c>
      <c r="Q23" s="281">
        <f>'Calcs-BR'!Q$178</f>
        <v>4.7163034678559796</v>
      </c>
      <c r="R23" s="281">
        <f>'Calcs-BR'!R$178</f>
        <v>0</v>
      </c>
    </row>
    <row r="24" spans="1:18" s="92" customFormat="1" x14ac:dyDescent="0.25">
      <c r="A24" s="164"/>
      <c r="B24" s="165"/>
      <c r="C24" s="166"/>
      <c r="D24" s="167"/>
      <c r="E24" s="30" t="str">
        <f>'Calcs-BR'!E$216</f>
        <v>Revenue adjustment for RCV run-off - real - BR</v>
      </c>
      <c r="F24" s="249"/>
      <c r="G24" s="249" t="str">
        <f>'Calcs-BR'!G$216</f>
        <v>£m</v>
      </c>
      <c r="H24" s="281">
        <f>'Calcs-BR'!H$216</f>
        <v>0.931014211544825</v>
      </c>
      <c r="I24" s="281"/>
      <c r="J24" s="281">
        <f>'Calcs-BR'!J$216</f>
        <v>0</v>
      </c>
      <c r="K24" s="281">
        <f>'Calcs-BR'!K$216</f>
        <v>0</v>
      </c>
      <c r="L24" s="281">
        <f>'Calcs-BR'!L$216</f>
        <v>0</v>
      </c>
      <c r="M24" s="281">
        <f>'Calcs-BR'!M$216</f>
        <v>-2.9884514988170886E-2</v>
      </c>
      <c r="N24" s="281">
        <f>'Calcs-BR'!N$216</f>
        <v>5.5718093501255964E-2</v>
      </c>
      <c r="O24" s="281">
        <f>'Calcs-BR'!O$216</f>
        <v>0.25377590305248721</v>
      </c>
      <c r="P24" s="281">
        <f>'Calcs-BR'!P$216</f>
        <v>0.33011016681121075</v>
      </c>
      <c r="Q24" s="281">
        <f>'Calcs-BR'!Q$216</f>
        <v>0.32129456316804195</v>
      </c>
      <c r="R24" s="281">
        <f>'Calcs-BR'!R$216</f>
        <v>0</v>
      </c>
    </row>
    <row r="25" spans="1:18" s="92" customFormat="1" x14ac:dyDescent="0.25">
      <c r="A25" s="164"/>
      <c r="B25" s="165"/>
      <c r="C25" s="166"/>
      <c r="D25" s="167"/>
      <c r="E25" s="30" t="str">
        <f>'Calcs-BR'!E$221</f>
        <v>Revenue adjustment for return - real - BR</v>
      </c>
      <c r="F25" s="249"/>
      <c r="G25" s="249" t="str">
        <f>'Calcs-BR'!G$221</f>
        <v>£m</v>
      </c>
      <c r="H25" s="281">
        <f>'Calcs-BR'!H$221</f>
        <v>0.26244402644928583</v>
      </c>
      <c r="I25" s="281"/>
      <c r="J25" s="281">
        <f>'Calcs-BR'!J$221</f>
        <v>0</v>
      </c>
      <c r="K25" s="281">
        <f>'Calcs-BR'!K$221</f>
        <v>0</v>
      </c>
      <c r="L25" s="281">
        <f>'Calcs-BR'!L$221</f>
        <v>0</v>
      </c>
      <c r="M25" s="281">
        <f>'Calcs-BR'!M$221</f>
        <v>-8.4241597439909614E-3</v>
      </c>
      <c r="N25" s="281">
        <f>'Calcs-BR'!N$221</f>
        <v>1.5706399132494137E-2</v>
      </c>
      <c r="O25" s="281">
        <f>'Calcs-BR'!O$221</f>
        <v>7.1537006618176455E-2</v>
      </c>
      <c r="P25" s="281">
        <f>'Calcs-BR'!P$221</f>
        <v>9.3054907514274893E-2</v>
      </c>
      <c r="Q25" s="281">
        <f>'Calcs-BR'!Q$221</f>
        <v>9.0569872928331296E-2</v>
      </c>
      <c r="R25" s="281">
        <f>'Calcs-BR'!R$221</f>
        <v>0</v>
      </c>
    </row>
    <row r="26" spans="1:18" s="92" customFormat="1" x14ac:dyDescent="0.25">
      <c r="A26" s="164"/>
      <c r="B26" s="165"/>
      <c r="C26" s="166"/>
      <c r="D26" s="167"/>
      <c r="E26" s="30"/>
      <c r="F26" s="249"/>
      <c r="G26" s="249"/>
      <c r="H26" s="281"/>
      <c r="I26" s="281"/>
      <c r="J26" s="281"/>
      <c r="K26" s="281"/>
      <c r="L26" s="281"/>
      <c r="M26" s="281"/>
      <c r="N26" s="281"/>
      <c r="O26" s="281"/>
      <c r="P26" s="281"/>
      <c r="Q26" s="281"/>
      <c r="R26" s="281"/>
    </row>
    <row r="27" spans="1:18" x14ac:dyDescent="0.25">
      <c r="B27" s="61" t="s">
        <v>352</v>
      </c>
    </row>
    <row r="28" spans="1:18" s="92" customFormat="1" x14ac:dyDescent="0.25">
      <c r="A28" s="164"/>
      <c r="B28" s="165"/>
      <c r="C28" s="166"/>
      <c r="D28" s="167"/>
      <c r="E28" s="30" t="str">
        <f>'Calcs-DMMY'!E$178</f>
        <v>RCV adjustment at end of period - real - DMMY</v>
      </c>
      <c r="F28" s="249"/>
      <c r="G28" s="249" t="str">
        <f>'Calcs-DMMY'!G$178</f>
        <v>£m</v>
      </c>
      <c r="H28" s="281">
        <f>'Calcs-DMMY'!H$178</f>
        <v>0</v>
      </c>
      <c r="I28" s="281"/>
      <c r="J28" s="281">
        <f>'Calcs-DMMY'!J$178</f>
        <v>0</v>
      </c>
      <c r="K28" s="281">
        <f>'Calcs-DMMY'!K$178</f>
        <v>0</v>
      </c>
      <c r="L28" s="281">
        <f>'Calcs-DMMY'!L$178</f>
        <v>0</v>
      </c>
      <c r="M28" s="281">
        <f>'Calcs-DMMY'!M$178</f>
        <v>0</v>
      </c>
      <c r="N28" s="281">
        <f>'Calcs-DMMY'!N$178</f>
        <v>0</v>
      </c>
      <c r="O28" s="281">
        <f>'Calcs-DMMY'!O$178</f>
        <v>0</v>
      </c>
      <c r="P28" s="281">
        <f>'Calcs-DMMY'!P$178</f>
        <v>0</v>
      </c>
      <c r="Q28" s="281">
        <f>'Calcs-DMMY'!Q$178</f>
        <v>0</v>
      </c>
      <c r="R28" s="281">
        <f>'Calcs-DMMY'!R$178</f>
        <v>0</v>
      </c>
    </row>
    <row r="29" spans="1:18" s="92" customFormat="1" x14ac:dyDescent="0.25">
      <c r="A29" s="164"/>
      <c r="B29" s="165"/>
      <c r="C29" s="166"/>
      <c r="D29" s="167"/>
      <c r="E29" s="30" t="str">
        <f>'Calcs-DMMY'!E$216</f>
        <v>Revenue adjustment for RCV run-off - real - DMMY</v>
      </c>
      <c r="F29" s="249"/>
      <c r="G29" s="249" t="str">
        <f>'Calcs-DMMY'!G$216</f>
        <v>£m</v>
      </c>
      <c r="H29" s="281">
        <f>'Calcs-DMMY'!H$216</f>
        <v>0</v>
      </c>
      <c r="I29" s="281"/>
      <c r="J29" s="281">
        <f>'Calcs-DMMY'!J$216</f>
        <v>0</v>
      </c>
      <c r="K29" s="281">
        <f>'Calcs-DMMY'!K$216</f>
        <v>0</v>
      </c>
      <c r="L29" s="281">
        <f>'Calcs-DMMY'!L$216</f>
        <v>0</v>
      </c>
      <c r="M29" s="281">
        <f>'Calcs-DMMY'!M$216</f>
        <v>0</v>
      </c>
      <c r="N29" s="281">
        <f>'Calcs-DMMY'!N$216</f>
        <v>0</v>
      </c>
      <c r="O29" s="281">
        <f>'Calcs-DMMY'!O$216</f>
        <v>0</v>
      </c>
      <c r="P29" s="281">
        <f>'Calcs-DMMY'!P$216</f>
        <v>0</v>
      </c>
      <c r="Q29" s="281">
        <f>'Calcs-DMMY'!Q$216</f>
        <v>0</v>
      </c>
      <c r="R29" s="281">
        <f>'Calcs-DMMY'!R$216</f>
        <v>0</v>
      </c>
    </row>
    <row r="30" spans="1:18" s="92" customFormat="1" x14ac:dyDescent="0.25">
      <c r="A30" s="164"/>
      <c r="B30" s="165"/>
      <c r="C30" s="166"/>
      <c r="D30" s="167"/>
      <c r="E30" s="30" t="str">
        <f>'Calcs-DMMY'!E$221</f>
        <v>Revenue adjustment for return - real - DMMY</v>
      </c>
      <c r="F30" s="249"/>
      <c r="G30" s="249" t="str">
        <f>'Calcs-DMMY'!G$221</f>
        <v>£m</v>
      </c>
      <c r="H30" s="281">
        <f>'Calcs-DMMY'!H$221</f>
        <v>0</v>
      </c>
      <c r="I30" s="281"/>
      <c r="J30" s="281">
        <f>'Calcs-DMMY'!J$221</f>
        <v>0</v>
      </c>
      <c r="K30" s="281">
        <f>'Calcs-DMMY'!K$221</f>
        <v>0</v>
      </c>
      <c r="L30" s="281">
        <f>'Calcs-DMMY'!L$221</f>
        <v>0</v>
      </c>
      <c r="M30" s="281">
        <f>'Calcs-DMMY'!M$221</f>
        <v>0</v>
      </c>
      <c r="N30" s="281">
        <f>'Calcs-DMMY'!N$221</f>
        <v>0</v>
      </c>
      <c r="O30" s="281">
        <f>'Calcs-DMMY'!O$221</f>
        <v>0</v>
      </c>
      <c r="P30" s="281">
        <f>'Calcs-DMMY'!P$221</f>
        <v>0</v>
      </c>
      <c r="Q30" s="281">
        <f>'Calcs-DMMY'!Q$221</f>
        <v>0</v>
      </c>
      <c r="R30" s="281">
        <f>'Calcs-DMMY'!R$221</f>
        <v>0</v>
      </c>
    </row>
    <row r="31" spans="1:18" s="92" customFormat="1" x14ac:dyDescent="0.25">
      <c r="A31" s="164"/>
      <c r="B31" s="165"/>
      <c r="C31" s="166"/>
      <c r="D31" s="167"/>
      <c r="E31" s="30"/>
      <c r="F31" s="249"/>
      <c r="G31" s="249"/>
      <c r="H31" s="281"/>
      <c r="I31" s="281"/>
      <c r="J31" s="281"/>
      <c r="K31" s="281"/>
      <c r="L31" s="281"/>
      <c r="M31" s="281"/>
      <c r="N31" s="281"/>
      <c r="O31" s="281"/>
      <c r="P31" s="281"/>
      <c r="Q31" s="281"/>
      <c r="R31" s="281"/>
    </row>
    <row r="32" spans="1:18" x14ac:dyDescent="0.25">
      <c r="A32" s="10" t="s">
        <v>62</v>
      </c>
      <c r="B32" s="1"/>
      <c r="C32" s="1"/>
      <c r="D32" s="1"/>
      <c r="E32" s="1"/>
      <c r="F32" s="1"/>
      <c r="G32" s="1"/>
      <c r="H32" s="1"/>
      <c r="I32" s="1"/>
      <c r="J32" s="1"/>
      <c r="K32" s="1"/>
      <c r="L32" s="1"/>
      <c r="M32" s="1"/>
      <c r="N32" s="1"/>
      <c r="O32" s="1"/>
      <c r="P32" s="1"/>
      <c r="Q32" s="1"/>
      <c r="R32" s="1"/>
    </row>
    <row r="34" spans="10:18" x14ac:dyDescent="0.25">
      <c r="J34" s="281"/>
      <c r="K34" s="281"/>
      <c r="L34" s="281"/>
      <c r="M34" s="281"/>
      <c r="N34" s="281"/>
      <c r="O34" s="281"/>
      <c r="P34" s="281"/>
      <c r="Q34" s="281"/>
      <c r="R34" s="281"/>
    </row>
    <row r="35" spans="10:18" x14ac:dyDescent="0.25">
      <c r="J35" s="281"/>
      <c r="K35" s="281"/>
      <c r="L35" s="281"/>
      <c r="M35" s="281"/>
      <c r="N35" s="281"/>
      <c r="O35" s="281"/>
      <c r="P35" s="281"/>
      <c r="Q35" s="281"/>
      <c r="R35" s="281"/>
    </row>
    <row r="36" spans="10:18" x14ac:dyDescent="0.25">
      <c r="J36" s="281"/>
      <c r="K36" s="281"/>
      <c r="L36" s="281"/>
      <c r="M36" s="281"/>
      <c r="N36" s="281"/>
      <c r="O36" s="281"/>
      <c r="P36" s="281"/>
      <c r="Q36" s="281"/>
      <c r="R36" s="281"/>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heetViews>
  <sheetFormatPr defaultColWidth="0" defaultRowHeight="13.2" x14ac:dyDescent="0.25"/>
  <cols>
    <col min="1" max="1" width="1.44140625" style="5" customWidth="1"/>
    <col min="2" max="3" width="1.44140625" style="9" customWidth="1"/>
    <col min="4" max="4" width="1.44140625" style="6" customWidth="1"/>
    <col min="5" max="5" width="48" style="7" bestFit="1" customWidth="1"/>
    <col min="6" max="6" width="12.5546875" style="7" customWidth="1"/>
    <col min="7" max="8" width="11.5546875" style="7" customWidth="1"/>
    <col min="9" max="9" width="2.5546875" style="7" customWidth="1"/>
    <col min="10" max="18" width="11.5546875" style="7" customWidth="1"/>
    <col min="19" max="79" width="11.5546875" style="7" hidden="1" customWidth="1"/>
    <col min="80" max="16384" width="0" style="7" hidden="1"/>
  </cols>
  <sheetData>
    <row r="1" spans="1:26" s="122" customFormat="1" ht="25.2" x14ac:dyDescent="0.4">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t="str">
        <f>Time!E$11</f>
        <v>Model column counter</v>
      </c>
      <c r="F5" s="5" t="s">
        <v>72</v>
      </c>
      <c r="G5" s="5" t="s">
        <v>73</v>
      </c>
      <c r="H5" s="5" t="s">
        <v>93</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166</v>
      </c>
    </row>
    <row r="9" spans="1:26" x14ac:dyDescent="0.25">
      <c r="E9" s="7" t="s">
        <v>167</v>
      </c>
      <c r="F9" s="29">
        <f>SUM(F11:F20)</f>
        <v>0</v>
      </c>
      <c r="G9" s="7" t="s">
        <v>168</v>
      </c>
    </row>
    <row r="11" spans="1:26" s="12" customFormat="1" x14ac:dyDescent="0.25">
      <c r="A11" s="15"/>
      <c r="B11" s="14"/>
      <c r="C11" s="14"/>
      <c r="D11" s="13"/>
      <c r="E11" s="12" t="s">
        <v>169</v>
      </c>
      <c r="F11" s="12" t="s">
        <v>170</v>
      </c>
    </row>
    <row r="13" spans="1:26" x14ac:dyDescent="0.25">
      <c r="E13" s="7" t="str">
        <f xml:space="preserve"> Time!E$78</f>
        <v>Modelling Period Check</v>
      </c>
      <c r="F13" s="33">
        <f xml:space="preserve"> Time!F$78</f>
        <v>0</v>
      </c>
      <c r="G13" s="7" t="str">
        <f xml:space="preserve"> Time!G$78</f>
        <v>check</v>
      </c>
    </row>
    <row r="14" spans="1:26" x14ac:dyDescent="0.25">
      <c r="E14" s="7" t="str">
        <f>'Calcs-WR'!E$165 &amp; "-WR"</f>
        <v>True-up correctly calculates revenue adjustment-WR</v>
      </c>
      <c r="F14" s="33">
        <f>'Calcs-WR'!F$165</f>
        <v>0</v>
      </c>
      <c r="G14" s="7" t="str">
        <f>'Calcs-WR'!G$165</f>
        <v>check</v>
      </c>
    </row>
    <row r="15" spans="1:26" x14ac:dyDescent="0.25">
      <c r="E15" s="7" t="str">
        <f>'Calcs-WN'!E$165 &amp; "-WN"</f>
        <v>True-up correctly calculates revenue adjustment-WN</v>
      </c>
      <c r="F15" s="33">
        <f>'Calcs-WN'!F$165</f>
        <v>0</v>
      </c>
      <c r="G15" s="7" t="str">
        <f>'Calcs-WN'!G$165</f>
        <v>check</v>
      </c>
    </row>
    <row r="16" spans="1:26" x14ac:dyDescent="0.25">
      <c r="E16" s="7" t="str">
        <f>'Calcs-WWN'!E$165 &amp; "-WWN"</f>
        <v>True-up correctly calculates revenue adjustment-WWN</v>
      </c>
      <c r="F16" s="33">
        <f>'Calcs-WWN'!F$165</f>
        <v>0</v>
      </c>
      <c r="G16" s="7" t="str">
        <f>'Calcs-WWN'!G$165</f>
        <v>check</v>
      </c>
    </row>
    <row r="17" spans="1:7" x14ac:dyDescent="0.25">
      <c r="E17" s="7" t="str">
        <f>'Calcs-BR'!E$165 &amp; "-BR"</f>
        <v>True-up correctly calculates revenue adjustment-BR</v>
      </c>
      <c r="F17" s="33">
        <f>'Calcs-BR'!F$165</f>
        <v>0</v>
      </c>
      <c r="G17" s="7" t="str">
        <f>'Calcs-BR'!G$165</f>
        <v>check</v>
      </c>
    </row>
    <row r="18" spans="1:7" x14ac:dyDescent="0.25">
      <c r="E18" s="7" t="str">
        <f>'Calcs-DMMY'!E$165 &amp; "-DMMY"</f>
        <v>True-up correctly calculates revenue adjustment-DMMY</v>
      </c>
      <c r="F18" s="33">
        <f>'Calcs-DMMY'!F$165</f>
        <v>0</v>
      </c>
      <c r="G18" s="7" t="str">
        <f>'Calcs-DMMY'!G$165</f>
        <v>check</v>
      </c>
    </row>
    <row r="20" spans="1:7" s="12" customFormat="1" x14ac:dyDescent="0.25">
      <c r="A20" s="15"/>
      <c r="B20" s="14"/>
      <c r="C20" s="14"/>
      <c r="D20" s="13"/>
      <c r="E20" s="12" t="s">
        <v>169</v>
      </c>
      <c r="F20" s="12" t="s">
        <v>171</v>
      </c>
    </row>
    <row r="22" spans="1:7" s="1" customFormat="1" x14ac:dyDescent="0.25">
      <c r="A22" s="10" t="s">
        <v>62</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3.2" zeroHeight="1" x14ac:dyDescent="0.25"/>
  <cols>
    <col min="1" max="4" width="2.5546875" customWidth="1"/>
    <col min="5" max="5" width="36.88671875" bestFit="1" customWidth="1"/>
    <col min="6" max="6" width="5.5546875" customWidth="1"/>
    <col min="7" max="8" width="9.109375" customWidth="1"/>
    <col min="9" max="9" width="94.109375" customWidth="1"/>
    <col min="10" max="16383" width="9.109375" hidden="1"/>
    <col min="16384" max="16384" width="12.44140625" hidden="1" customWidth="1"/>
  </cols>
  <sheetData>
    <row r="1" spans="1:9" s="122" customFormat="1" ht="24.6" x14ac:dyDescent="0.4">
      <c r="A1" s="118" t="str">
        <f ca="1" xml:space="preserve"> RIGHT(CELL("filename", $A$1), LEN(CELL("filename", $A$1)) - SEARCH("]", CELL("filename", $A$1)))</f>
        <v>Style Guide</v>
      </c>
    </row>
    <row r="2" spans="1:9" x14ac:dyDescent="0.25"/>
    <row r="3" spans="1:9" x14ac:dyDescent="0.25"/>
    <row r="4" spans="1:9" x14ac:dyDescent="0.25">
      <c r="A4" s="139" t="s">
        <v>3</v>
      </c>
      <c r="B4" s="139"/>
      <c r="C4" s="140"/>
      <c r="D4" s="141"/>
      <c r="E4" s="139"/>
      <c r="F4" s="139"/>
      <c r="G4" s="139"/>
      <c r="H4" s="139"/>
      <c r="I4" s="139"/>
    </row>
    <row r="5" spans="1:9" x14ac:dyDescent="0.25">
      <c r="A5" s="5"/>
      <c r="B5" s="5"/>
      <c r="C5" s="9"/>
      <c r="D5" s="6"/>
      <c r="E5" s="7"/>
      <c r="F5" s="7"/>
      <c r="G5" s="7"/>
      <c r="H5" s="7"/>
      <c r="I5" s="7"/>
    </row>
    <row r="6" spans="1:9" x14ac:dyDescent="0.25">
      <c r="A6" s="5"/>
      <c r="B6" s="5"/>
      <c r="C6" s="9"/>
      <c r="D6" s="6"/>
      <c r="E6" s="142" t="s">
        <v>4</v>
      </c>
      <c r="F6" s="7"/>
      <c r="G6" s="7" t="s">
        <v>5</v>
      </c>
      <c r="H6" s="7"/>
      <c r="I6" s="7"/>
    </row>
    <row r="7" spans="1:9" x14ac:dyDescent="0.25">
      <c r="A7" s="5"/>
      <c r="B7" s="5"/>
      <c r="C7" s="9"/>
      <c r="D7" s="6"/>
      <c r="E7" s="143"/>
      <c r="F7" s="7"/>
      <c r="G7" s="7"/>
      <c r="H7" s="7"/>
      <c r="I7" s="7"/>
    </row>
    <row r="8" spans="1:9" x14ac:dyDescent="0.25">
      <c r="A8" s="5"/>
      <c r="B8" s="5"/>
      <c r="C8" s="9"/>
      <c r="D8" s="6"/>
      <c r="E8" s="144" t="s">
        <v>6</v>
      </c>
      <c r="F8" s="7"/>
      <c r="G8" s="7" t="s">
        <v>7</v>
      </c>
      <c r="H8" s="7"/>
      <c r="I8" s="7"/>
    </row>
    <row r="9" spans="1:9" x14ac:dyDescent="0.25">
      <c r="A9" s="5"/>
      <c r="B9" s="5"/>
      <c r="C9" s="9"/>
      <c r="D9" s="6"/>
      <c r="E9" s="143"/>
      <c r="F9" s="7"/>
      <c r="G9" s="7"/>
      <c r="H9" s="7"/>
      <c r="I9" s="7"/>
    </row>
    <row r="10" spans="1:9" x14ac:dyDescent="0.25">
      <c r="A10" s="5"/>
      <c r="B10" s="5"/>
      <c r="C10" s="9"/>
      <c r="D10" s="6"/>
      <c r="E10" s="145" t="s">
        <v>8</v>
      </c>
      <c r="F10" s="7"/>
      <c r="G10" s="7" t="s">
        <v>9</v>
      </c>
      <c r="H10" s="7"/>
      <c r="I10" s="7"/>
    </row>
    <row r="11" spans="1:9" x14ac:dyDescent="0.25">
      <c r="A11" s="5"/>
      <c r="B11" s="5"/>
      <c r="C11" s="9"/>
      <c r="D11" s="6"/>
      <c r="E11" s="143"/>
      <c r="F11" s="7"/>
      <c r="G11" s="7"/>
      <c r="H11" s="7"/>
      <c r="I11" s="7"/>
    </row>
    <row r="12" spans="1:9" x14ac:dyDescent="0.25">
      <c r="A12" s="5"/>
      <c r="B12" s="5"/>
      <c r="C12" s="9"/>
      <c r="D12" s="6"/>
      <c r="E12" s="146" t="s">
        <v>10</v>
      </c>
      <c r="F12" s="7"/>
      <c r="G12" s="7" t="s">
        <v>11</v>
      </c>
      <c r="H12" s="7"/>
      <c r="I12" s="7"/>
    </row>
    <row r="13" spans="1:9" x14ac:dyDescent="0.25">
      <c r="A13" s="5"/>
      <c r="B13" s="5"/>
      <c r="C13" s="9"/>
      <c r="D13" s="6"/>
      <c r="E13" s="143"/>
      <c r="F13" s="7"/>
      <c r="G13" s="7"/>
      <c r="H13" s="7"/>
      <c r="I13" s="7"/>
    </row>
    <row r="14" spans="1:9" x14ac:dyDescent="0.25">
      <c r="A14" s="5"/>
      <c r="B14" s="5"/>
      <c r="C14" s="9"/>
      <c r="D14" s="6"/>
      <c r="E14" s="147" t="s">
        <v>12</v>
      </c>
      <c r="F14" s="7"/>
      <c r="G14" s="7" t="s">
        <v>13</v>
      </c>
      <c r="H14" s="7"/>
      <c r="I14" s="7"/>
    </row>
    <row r="15" spans="1:9" x14ac:dyDescent="0.25">
      <c r="A15" s="5"/>
      <c r="B15" s="5"/>
      <c r="C15" s="9"/>
      <c r="D15" s="6"/>
      <c r="E15" s="7"/>
      <c r="F15" s="7"/>
      <c r="G15" s="7"/>
      <c r="H15" s="7"/>
      <c r="I15" s="7"/>
    </row>
    <row r="16" spans="1:9" x14ac:dyDescent="0.25">
      <c r="A16" s="5"/>
      <c r="B16" s="5"/>
      <c r="C16" s="9"/>
      <c r="D16" s="6"/>
      <c r="E16" s="7"/>
      <c r="F16" s="7"/>
      <c r="G16" s="7"/>
      <c r="H16" s="7"/>
      <c r="I16" s="7"/>
    </row>
    <row r="17" spans="1:9" x14ac:dyDescent="0.25">
      <c r="A17" s="139" t="s">
        <v>14</v>
      </c>
      <c r="B17" s="139"/>
      <c r="C17" s="140"/>
      <c r="D17" s="141"/>
      <c r="E17" s="139"/>
      <c r="F17" s="139"/>
      <c r="G17" s="139"/>
      <c r="H17" s="139"/>
      <c r="I17" s="139"/>
    </row>
    <row r="18" spans="1:9" x14ac:dyDescent="0.25">
      <c r="A18" s="5"/>
      <c r="B18" s="5"/>
      <c r="C18" s="9"/>
      <c r="D18" s="6"/>
      <c r="E18" s="7"/>
      <c r="F18" s="7"/>
      <c r="G18" s="7"/>
      <c r="H18" s="7"/>
      <c r="I18" s="7"/>
    </row>
    <row r="19" spans="1:9" x14ac:dyDescent="0.25">
      <c r="A19" s="5"/>
      <c r="B19" s="5" t="s">
        <v>15</v>
      </c>
      <c r="C19" s="9"/>
      <c r="D19" s="6"/>
      <c r="E19" s="7"/>
      <c r="F19" s="7"/>
      <c r="G19" s="7"/>
      <c r="H19" s="7"/>
      <c r="I19" s="7"/>
    </row>
    <row r="20" spans="1:9" x14ac:dyDescent="0.25">
      <c r="A20" s="5"/>
      <c r="B20" s="5"/>
      <c r="C20" s="9"/>
      <c r="D20" s="6"/>
      <c r="E20" s="37" t="s">
        <v>16</v>
      </c>
      <c r="F20" s="7"/>
      <c r="G20" s="7" t="s">
        <v>17</v>
      </c>
      <c r="H20" s="7"/>
      <c r="I20" s="7"/>
    </row>
    <row r="21" spans="1:9" x14ac:dyDescent="0.25">
      <c r="A21" s="5"/>
      <c r="B21" s="5"/>
      <c r="C21" s="9"/>
      <c r="D21" s="6"/>
      <c r="E21" s="7"/>
      <c r="F21" s="7"/>
      <c r="G21" s="7"/>
      <c r="H21" s="7"/>
      <c r="I21" s="7"/>
    </row>
    <row r="22" spans="1:9" x14ac:dyDescent="0.25">
      <c r="A22" s="5"/>
      <c r="B22" s="5"/>
      <c r="C22" s="9"/>
      <c r="D22" s="6"/>
      <c r="E22" s="2" t="s">
        <v>18</v>
      </c>
      <c r="F22" s="7"/>
      <c r="G22" s="7" t="s">
        <v>19</v>
      </c>
      <c r="H22" s="7"/>
      <c r="I22" s="7"/>
    </row>
    <row r="23" spans="1:9" x14ac:dyDescent="0.25">
      <c r="A23" s="5"/>
      <c r="B23" s="5"/>
      <c r="C23" s="9"/>
      <c r="D23" s="6"/>
      <c r="E23" s="7"/>
      <c r="F23" s="7"/>
      <c r="G23" s="7"/>
      <c r="H23" s="7"/>
      <c r="I23" s="7"/>
    </row>
    <row r="24" spans="1:9" x14ac:dyDescent="0.25">
      <c r="A24" s="5"/>
      <c r="B24" s="5"/>
      <c r="C24" s="9"/>
      <c r="D24" s="6"/>
      <c r="E24" s="7" t="s">
        <v>20</v>
      </c>
      <c r="F24" s="7"/>
      <c r="G24" s="7" t="s">
        <v>21</v>
      </c>
      <c r="H24" s="7"/>
      <c r="I24" s="7"/>
    </row>
    <row r="25" spans="1:9" x14ac:dyDescent="0.25">
      <c r="A25" s="5"/>
      <c r="B25" s="5"/>
      <c r="C25" s="9"/>
      <c r="D25" s="6"/>
      <c r="E25" s="7"/>
      <c r="F25" s="7"/>
      <c r="G25" s="7"/>
      <c r="H25" s="7"/>
      <c r="I25" s="7"/>
    </row>
    <row r="26" spans="1:9" x14ac:dyDescent="0.25">
      <c r="A26" s="5"/>
      <c r="B26" s="5" t="s">
        <v>22</v>
      </c>
      <c r="C26" s="9"/>
      <c r="D26" s="6"/>
      <c r="E26" s="7"/>
      <c r="F26" s="7"/>
      <c r="G26" s="7"/>
      <c r="H26" s="7"/>
      <c r="I26" s="7"/>
    </row>
    <row r="27" spans="1:9" x14ac:dyDescent="0.25">
      <c r="A27" s="5"/>
      <c r="B27" s="5"/>
      <c r="C27" s="9"/>
      <c r="D27" s="6"/>
      <c r="E27" s="148" t="s">
        <v>23</v>
      </c>
      <c r="F27" s="7"/>
      <c r="G27" s="7" t="s">
        <v>24</v>
      </c>
      <c r="H27" s="7"/>
      <c r="I27" s="7"/>
    </row>
    <row r="28" spans="1:9" x14ac:dyDescent="0.25">
      <c r="A28" s="5"/>
      <c r="B28" s="5"/>
      <c r="C28" s="9"/>
      <c r="D28" s="6"/>
      <c r="E28" s="7"/>
      <c r="F28" s="7"/>
      <c r="G28" s="7"/>
      <c r="H28" s="7"/>
      <c r="I28" s="7"/>
    </row>
    <row r="29" spans="1:9" x14ac:dyDescent="0.25">
      <c r="A29" s="5"/>
      <c r="B29" s="5"/>
      <c r="C29" s="9"/>
      <c r="D29" s="6"/>
      <c r="E29" s="149" t="s">
        <v>25</v>
      </c>
      <c r="F29" s="7"/>
      <c r="G29" s="7" t="s">
        <v>26</v>
      </c>
      <c r="H29" s="7"/>
      <c r="I29" s="7"/>
    </row>
    <row r="30" spans="1:9" x14ac:dyDescent="0.25">
      <c r="A30" s="5"/>
      <c r="B30" s="5"/>
      <c r="C30" s="9"/>
      <c r="D30" s="6"/>
      <c r="E30" s="7"/>
      <c r="F30" s="7"/>
      <c r="G30" s="7"/>
      <c r="H30" s="7"/>
      <c r="I30" s="7"/>
    </row>
    <row r="31" spans="1:9" x14ac:dyDescent="0.25">
      <c r="A31" s="5"/>
      <c r="B31" s="5"/>
      <c r="C31" s="9"/>
      <c r="D31" s="6"/>
      <c r="E31" s="150" t="s">
        <v>27</v>
      </c>
      <c r="F31" s="7"/>
      <c r="G31" s="7" t="s">
        <v>28</v>
      </c>
      <c r="H31" s="7"/>
      <c r="I31" s="7"/>
    </row>
    <row r="32" spans="1:9" x14ac:dyDescent="0.25">
      <c r="A32" s="5"/>
      <c r="B32" s="5"/>
      <c r="C32" s="9"/>
      <c r="D32" s="6"/>
      <c r="E32" s="7"/>
      <c r="F32" s="7"/>
      <c r="G32" s="7"/>
      <c r="H32" s="7"/>
      <c r="I32" s="7"/>
    </row>
    <row r="33" spans="1:9" x14ac:dyDescent="0.25">
      <c r="A33" s="5"/>
      <c r="B33" s="5"/>
      <c r="C33" s="9"/>
      <c r="D33" s="6"/>
      <c r="E33" s="149" t="s">
        <v>29</v>
      </c>
      <c r="F33" s="7"/>
      <c r="G33" s="7" t="s">
        <v>30</v>
      </c>
      <c r="H33" s="7"/>
      <c r="I33" s="7"/>
    </row>
    <row r="34" spans="1:9" x14ac:dyDescent="0.25">
      <c r="A34" s="5"/>
      <c r="B34" s="5"/>
      <c r="C34" s="9"/>
      <c r="D34" s="6"/>
      <c r="E34" s="7"/>
      <c r="F34" s="7"/>
      <c r="G34" s="7"/>
      <c r="H34" s="7"/>
      <c r="I34" s="7"/>
    </row>
    <row r="35" spans="1:9" x14ac:dyDescent="0.25">
      <c r="A35" s="5"/>
      <c r="B35" s="5" t="s">
        <v>31</v>
      </c>
      <c r="C35" s="9"/>
      <c r="D35" s="6"/>
      <c r="E35" s="7"/>
      <c r="F35" s="7"/>
      <c r="G35" s="7"/>
      <c r="H35" s="7"/>
      <c r="I35" s="7"/>
    </row>
    <row r="36" spans="1:9" x14ac:dyDescent="0.25">
      <c r="A36" s="5"/>
      <c r="B36" s="5"/>
      <c r="C36" s="9"/>
      <c r="D36" s="6"/>
      <c r="E36" s="151" t="s">
        <v>32</v>
      </c>
      <c r="F36" s="7"/>
      <c r="G36" s="7" t="s">
        <v>33</v>
      </c>
      <c r="H36" s="7"/>
      <c r="I36" s="7"/>
    </row>
    <row r="37" spans="1:9" x14ac:dyDescent="0.25">
      <c r="A37" s="5"/>
      <c r="B37" s="5"/>
      <c r="C37" s="9"/>
      <c r="D37" s="6"/>
      <c r="E37" s="7"/>
      <c r="F37" s="7"/>
      <c r="G37" s="7"/>
      <c r="H37" s="7"/>
      <c r="I37" s="7"/>
    </row>
    <row r="38" spans="1:9" x14ac:dyDescent="0.25">
      <c r="A38" s="5"/>
      <c r="B38" s="5"/>
      <c r="C38" s="9"/>
      <c r="D38" s="6"/>
      <c r="E38" s="3" t="s">
        <v>34</v>
      </c>
      <c r="F38" s="7"/>
      <c r="G38" s="7" t="s">
        <v>35</v>
      </c>
      <c r="H38" s="7"/>
      <c r="I38" s="7"/>
    </row>
    <row r="39" spans="1:9" x14ac:dyDescent="0.25">
      <c r="A39" s="5"/>
      <c r="B39" s="5"/>
      <c r="C39" s="9"/>
      <c r="D39" s="6"/>
      <c r="E39" s="7"/>
      <c r="F39" s="7"/>
      <c r="G39" s="7"/>
      <c r="H39" s="7"/>
      <c r="I39" s="7"/>
    </row>
    <row r="40" spans="1:9" x14ac:dyDescent="0.25">
      <c r="A40" s="5"/>
      <c r="B40" s="5"/>
      <c r="C40" s="9"/>
      <c r="D40" s="6"/>
      <c r="E40" s="152" t="s">
        <v>36</v>
      </c>
      <c r="F40" s="7"/>
      <c r="G40" s="7" t="s">
        <v>37</v>
      </c>
      <c r="H40" s="7"/>
      <c r="I40" s="7"/>
    </row>
    <row r="41" spans="1:9" x14ac:dyDescent="0.25">
      <c r="A41" s="5"/>
      <c r="B41" s="5"/>
      <c r="C41" s="9"/>
      <c r="D41" s="6"/>
      <c r="E41" s="7"/>
      <c r="F41" s="7"/>
      <c r="G41" s="7"/>
      <c r="H41" s="7"/>
      <c r="I41" s="7"/>
    </row>
    <row r="42" spans="1:9" x14ac:dyDescent="0.25">
      <c r="A42" s="5"/>
      <c r="B42" s="5"/>
      <c r="C42" s="9"/>
      <c r="D42" s="6"/>
      <c r="E42" s="8" t="s">
        <v>38</v>
      </c>
      <c r="F42" s="7"/>
      <c r="G42" s="7" t="s">
        <v>39</v>
      </c>
      <c r="H42" s="7"/>
      <c r="I42" s="7"/>
    </row>
    <row r="43" spans="1:9" x14ac:dyDescent="0.25">
      <c r="A43" s="5"/>
      <c r="B43" s="5"/>
      <c r="C43" s="9"/>
      <c r="D43" s="6"/>
      <c r="E43" s="7"/>
      <c r="F43" s="7"/>
      <c r="G43" s="7"/>
      <c r="H43" s="7"/>
      <c r="I43" s="7"/>
    </row>
    <row r="44" spans="1:9" x14ac:dyDescent="0.25">
      <c r="A44" s="5"/>
      <c r="B44" s="5"/>
      <c r="C44" s="9"/>
      <c r="D44" s="6"/>
      <c r="E44" s="153" t="s">
        <v>40</v>
      </c>
      <c r="F44" s="7"/>
      <c r="G44" s="7" t="s">
        <v>41</v>
      </c>
      <c r="H44" s="7"/>
      <c r="I44" s="7"/>
    </row>
    <row r="45" spans="1:9" x14ac:dyDescent="0.25">
      <c r="A45" s="5"/>
      <c r="B45" s="5"/>
      <c r="C45" s="9"/>
      <c r="D45" s="6"/>
      <c r="E45" s="7"/>
      <c r="F45" s="7"/>
      <c r="G45" s="7"/>
      <c r="H45" s="7"/>
      <c r="I45" s="7"/>
    </row>
    <row r="46" spans="1:9" x14ac:dyDescent="0.25">
      <c r="A46" s="5"/>
      <c r="B46" s="5" t="s">
        <v>42</v>
      </c>
      <c r="C46" s="9"/>
      <c r="D46" s="6"/>
      <c r="E46" s="7"/>
      <c r="F46" s="7"/>
      <c r="G46" s="7"/>
      <c r="H46" s="7"/>
      <c r="I46" s="7"/>
    </row>
    <row r="47" spans="1:9" x14ac:dyDescent="0.25">
      <c r="A47" s="5"/>
      <c r="B47" s="5"/>
      <c r="C47" s="9"/>
      <c r="D47" s="6"/>
      <c r="E47" s="154" t="s">
        <v>43</v>
      </c>
      <c r="F47" s="7"/>
      <c r="G47" s="7" t="s">
        <v>44</v>
      </c>
      <c r="H47" s="7"/>
      <c r="I47" s="7"/>
    </row>
    <row r="48" spans="1:9" x14ac:dyDescent="0.25">
      <c r="A48" s="5"/>
      <c r="B48" s="5"/>
      <c r="C48" s="9"/>
      <c r="D48" s="6"/>
      <c r="E48" s="7"/>
      <c r="F48" s="7"/>
      <c r="G48" s="7"/>
      <c r="H48" s="7"/>
      <c r="I48" s="7"/>
    </row>
    <row r="49" spans="1:9" x14ac:dyDescent="0.25">
      <c r="A49" s="5"/>
      <c r="B49" s="5"/>
      <c r="C49" s="9"/>
      <c r="D49" s="6"/>
      <c r="E49" s="155" t="s">
        <v>45</v>
      </c>
      <c r="F49" s="7"/>
      <c r="G49" s="7" t="s">
        <v>46</v>
      </c>
      <c r="H49" s="7"/>
      <c r="I49" s="7"/>
    </row>
    <row r="50" spans="1:9" x14ac:dyDescent="0.25">
      <c r="A50" s="5"/>
      <c r="B50" s="5"/>
      <c r="C50" s="9"/>
      <c r="D50" s="6"/>
      <c r="E50" s="7"/>
      <c r="F50" s="7"/>
      <c r="G50" s="7"/>
      <c r="H50" s="7"/>
      <c r="I50" s="7"/>
    </row>
    <row r="51" spans="1:9" x14ac:dyDescent="0.25">
      <c r="A51" s="5"/>
      <c r="B51" s="5"/>
      <c r="C51" s="9"/>
      <c r="D51" s="6"/>
      <c r="E51" s="156" t="s">
        <v>47</v>
      </c>
      <c r="F51" s="7"/>
      <c r="G51" s="7" t="s">
        <v>48</v>
      </c>
      <c r="H51" s="7"/>
      <c r="I51" s="7"/>
    </row>
    <row r="52" spans="1:9" x14ac:dyDescent="0.25">
      <c r="A52" s="5"/>
      <c r="B52" s="5"/>
      <c r="C52" s="9"/>
      <c r="D52" s="6"/>
      <c r="E52" s="7"/>
      <c r="F52" s="7"/>
      <c r="G52" s="7"/>
      <c r="H52" s="7"/>
      <c r="I52" s="7"/>
    </row>
    <row r="53" spans="1:9" x14ac:dyDescent="0.25">
      <c r="A53" s="5"/>
      <c r="B53" s="5"/>
      <c r="C53" s="9"/>
      <c r="D53" s="7"/>
      <c r="E53" s="7"/>
      <c r="F53" s="7"/>
      <c r="G53" s="7"/>
      <c r="H53" s="7"/>
      <c r="I53" s="7"/>
    </row>
    <row r="54" spans="1:9" x14ac:dyDescent="0.25">
      <c r="A54" s="139" t="s">
        <v>49</v>
      </c>
      <c r="B54" s="139"/>
      <c r="C54" s="140"/>
      <c r="D54" s="141"/>
      <c r="E54" s="139"/>
      <c r="F54" s="139"/>
      <c r="G54" s="139"/>
      <c r="H54" s="139"/>
      <c r="I54" s="139"/>
    </row>
    <row r="55" spans="1:9" x14ac:dyDescent="0.25">
      <c r="A55" s="5"/>
      <c r="B55" s="5"/>
      <c r="C55" s="9"/>
      <c r="D55" s="6"/>
      <c r="E55" s="7"/>
      <c r="F55" s="7"/>
      <c r="G55" s="7"/>
      <c r="H55" s="7"/>
      <c r="I55" s="7"/>
    </row>
    <row r="56" spans="1:9" x14ac:dyDescent="0.25">
      <c r="A56" s="5"/>
      <c r="B56" s="5"/>
      <c r="C56" s="9"/>
      <c r="D56" s="6"/>
      <c r="E56" s="7" t="s">
        <v>50</v>
      </c>
      <c r="F56" s="7"/>
      <c r="G56" s="7" t="s">
        <v>51</v>
      </c>
      <c r="H56" s="7"/>
      <c r="I56" s="7"/>
    </row>
    <row r="57" spans="1:9" x14ac:dyDescent="0.25">
      <c r="A57" s="5"/>
      <c r="B57" s="5"/>
      <c r="C57" s="9"/>
      <c r="D57" s="6"/>
      <c r="E57" s="7" t="s">
        <v>52</v>
      </c>
      <c r="F57" s="7"/>
      <c r="G57" s="7" t="s">
        <v>53</v>
      </c>
      <c r="H57" s="7"/>
      <c r="I57" s="7"/>
    </row>
    <row r="58" spans="1:9" x14ac:dyDescent="0.25">
      <c r="A58" s="5"/>
      <c r="B58" s="5"/>
      <c r="C58" s="9"/>
      <c r="D58" s="6"/>
      <c r="E58" s="7" t="s">
        <v>54</v>
      </c>
      <c r="F58" s="7"/>
      <c r="G58" s="7" t="s">
        <v>55</v>
      </c>
      <c r="H58" s="7"/>
      <c r="I58" s="7"/>
    </row>
    <row r="59" spans="1:9" x14ac:dyDescent="0.25">
      <c r="A59" s="5"/>
      <c r="B59" s="5"/>
      <c r="C59" s="9"/>
      <c r="D59" s="6"/>
      <c r="E59" s="7" t="s">
        <v>56</v>
      </c>
      <c r="F59" s="7"/>
      <c r="G59" s="7" t="s">
        <v>57</v>
      </c>
      <c r="H59" s="7"/>
      <c r="I59" s="7"/>
    </row>
    <row r="60" spans="1:9" x14ac:dyDescent="0.25">
      <c r="A60" s="5"/>
      <c r="B60" s="5"/>
      <c r="C60" s="9"/>
      <c r="D60" s="6"/>
      <c r="E60" s="7" t="s">
        <v>58</v>
      </c>
      <c r="F60" s="7"/>
      <c r="G60" s="7" t="s">
        <v>59</v>
      </c>
      <c r="H60" s="7"/>
      <c r="I60" s="7"/>
    </row>
    <row r="61" spans="1:9" x14ac:dyDescent="0.25">
      <c r="A61" s="5"/>
      <c r="B61" s="5"/>
      <c r="C61" s="9"/>
      <c r="D61" s="6"/>
      <c r="E61" s="7" t="s">
        <v>60</v>
      </c>
      <c r="F61" s="7"/>
      <c r="G61" s="7" t="s">
        <v>61</v>
      </c>
      <c r="H61" s="7"/>
      <c r="I61" s="7"/>
    </row>
    <row r="62" spans="1:9" x14ac:dyDescent="0.25">
      <c r="A62" s="5"/>
      <c r="B62" s="5"/>
      <c r="C62" s="9"/>
      <c r="D62" s="6"/>
      <c r="E62" s="7"/>
      <c r="F62" s="7"/>
      <c r="G62" s="7"/>
      <c r="H62" s="7"/>
      <c r="I62" s="7"/>
    </row>
    <row r="63" spans="1:9" x14ac:dyDescent="0.25">
      <c r="A63" s="5"/>
      <c r="B63" s="5"/>
      <c r="C63" s="9"/>
      <c r="D63" s="6"/>
      <c r="E63" s="7"/>
      <c r="F63" s="7"/>
      <c r="G63" s="7"/>
      <c r="H63" s="7"/>
      <c r="I63" s="7"/>
    </row>
    <row r="64" spans="1:9" s="1" customFormat="1" x14ac:dyDescent="0.25">
      <c r="A64" s="10" t="s">
        <v>62</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3.2" zeroHeight="1" x14ac:dyDescent="0.25"/>
  <cols>
    <col min="1" max="1" width="2.5546875" customWidth="1"/>
    <col min="2" max="2" width="36.5546875" bestFit="1" customWidth="1"/>
    <col min="3" max="3" width="3.44140625" customWidth="1"/>
    <col min="4" max="4" width="54.88671875" customWidth="1"/>
    <col min="5" max="5" width="3.109375" customWidth="1"/>
    <col min="6" max="6" width="40.5546875" customWidth="1"/>
    <col min="7" max="7" width="3.109375" customWidth="1"/>
    <col min="8" max="8" width="40.5546875" customWidth="1"/>
    <col min="9" max="9" width="27.88671875" customWidth="1"/>
    <col min="10" max="10" width="63.109375" hidden="1" customWidth="1"/>
    <col min="11" max="16384" width="9.109375" hidden="1"/>
  </cols>
  <sheetData>
    <row r="1" spans="1:11" s="123" customFormat="1" ht="24.6" x14ac:dyDescent="0.4">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63</v>
      </c>
      <c r="D3" t="s">
        <v>64</v>
      </c>
      <c r="F3" t="s">
        <v>65</v>
      </c>
      <c r="H3" t="s">
        <v>295</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66</v>
      </c>
      <c r="D6" t="s">
        <v>67</v>
      </c>
      <c r="F6" t="s">
        <v>296</v>
      </c>
      <c r="H6" t="s">
        <v>51</v>
      </c>
    </row>
    <row r="7" spans="1:11" x14ac:dyDescent="0.25">
      <c r="D7" s="37"/>
    </row>
    <row r="8" spans="1:11" x14ac:dyDescent="0.25">
      <c r="B8" s="104" t="str">
        <f ca="1">'Style Guide'!$A$1</f>
        <v>Style Guide</v>
      </c>
      <c r="D8" s="104" t="str">
        <f ca="1">Index!$A$1</f>
        <v>Index</v>
      </c>
    </row>
    <row r="9" spans="1:11" x14ac:dyDescent="0.25">
      <c r="B9" t="s">
        <v>68</v>
      </c>
      <c r="D9" t="s">
        <v>283</v>
      </c>
    </row>
    <row r="10" spans="1:11" x14ac:dyDescent="0.25"/>
    <row r="11" spans="1:11" x14ac:dyDescent="0.25">
      <c r="B11" s="106" t="str">
        <f ca="1">$A$1</f>
        <v>ToC</v>
      </c>
      <c r="D11" s="104" t="str">
        <f ca="1">'Calcs-WR'!$A$1</f>
        <v>Calcs-WR</v>
      </c>
    </row>
    <row r="12" spans="1:11" x14ac:dyDescent="0.25">
      <c r="B12" t="s">
        <v>69</v>
      </c>
      <c r="D12" t="s">
        <v>369</v>
      </c>
    </row>
    <row r="13" spans="1:11" x14ac:dyDescent="0.25"/>
    <row r="14" spans="1:11" x14ac:dyDescent="0.25">
      <c r="B14" s="103" t="str">
        <f ca="1">InpR!$A$1</f>
        <v>InpR</v>
      </c>
      <c r="D14" s="104" t="str">
        <f ca="1">'Calcs-WN'!$A$1</f>
        <v>Calcs-WN</v>
      </c>
    </row>
    <row r="15" spans="1:11" x14ac:dyDescent="0.25">
      <c r="B15" t="s">
        <v>70</v>
      </c>
      <c r="D15" t="s">
        <v>370</v>
      </c>
    </row>
    <row r="16" spans="1:11" x14ac:dyDescent="0.25"/>
    <row r="17" spans="1:4" x14ac:dyDescent="0.25">
      <c r="D17" s="104" t="str">
        <f ca="1">'Calcs-WWN'!$A$1</f>
        <v>Calcs-WWN</v>
      </c>
    </row>
    <row r="18" spans="1:4" x14ac:dyDescent="0.25">
      <c r="D18" t="s">
        <v>371</v>
      </c>
    </row>
    <row r="19" spans="1:4" x14ac:dyDescent="0.25"/>
    <row r="20" spans="1:4" x14ac:dyDescent="0.25">
      <c r="D20" s="104" t="str">
        <f ca="1">'Calcs-BR'!$A$1</f>
        <v>Calcs-BR</v>
      </c>
    </row>
    <row r="21" spans="1:4" x14ac:dyDescent="0.25">
      <c r="D21" t="s">
        <v>372</v>
      </c>
    </row>
    <row r="22" spans="1:4" x14ac:dyDescent="0.25"/>
    <row r="23" spans="1:4" x14ac:dyDescent="0.25">
      <c r="D23" s="104" t="str">
        <f ca="1">'Calcs-DMMY'!$A$1</f>
        <v>Calcs-DMMY</v>
      </c>
    </row>
    <row r="24" spans="1:4" x14ac:dyDescent="0.25">
      <c r="D24" t="s">
        <v>373</v>
      </c>
    </row>
    <row r="25" spans="1:4" x14ac:dyDescent="0.25"/>
    <row r="26" spans="1:4" x14ac:dyDescent="0.25"/>
    <row r="27" spans="1:4" x14ac:dyDescent="0.25"/>
    <row r="28" spans="1:4" x14ac:dyDescent="0.25"/>
    <row r="29" spans="1:4" s="1" customFormat="1" x14ac:dyDescent="0.25">
      <c r="A29" s="10" t="s">
        <v>62</v>
      </c>
    </row>
    <row r="30" spans="1:4"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zoomScale="90" zoomScaleNormal="90" workbookViewId="0">
      <pane xSplit="9" ySplit="7" topLeftCell="L8" activePane="bottomRight" state="frozen"/>
      <selection pane="topRight"/>
      <selection pane="bottomLeft"/>
      <selection pane="bottomRight" activeCell="I32" sqref="I32"/>
    </sheetView>
  </sheetViews>
  <sheetFormatPr defaultColWidth="0" defaultRowHeight="13.2" zeroHeight="1" x14ac:dyDescent="0.25"/>
  <cols>
    <col min="1" max="1" width="1.44140625" style="5" customWidth="1"/>
    <col min="2" max="2" width="1.44140625" style="9" customWidth="1"/>
    <col min="3" max="3" width="1.44140625" style="117" customWidth="1"/>
    <col min="4" max="4" width="1.44140625" style="6" customWidth="1"/>
    <col min="5" max="5" width="54.5546875" style="7" bestFit="1" customWidth="1"/>
    <col min="6" max="6" width="11.44140625" style="7" customWidth="1"/>
    <col min="7" max="7" width="9.5546875" style="7" bestFit="1" customWidth="1"/>
    <col min="8" max="8" width="5" style="7" bestFit="1" customWidth="1"/>
    <col min="9" max="9" width="66.6640625" style="7" bestFit="1" customWidth="1"/>
    <col min="10" max="17" width="9.88671875" style="7" bestFit="1" customWidth="1"/>
    <col min="18" max="18" width="10.44140625" style="7" bestFit="1" customWidth="1"/>
    <col min="19" max="82" width="11.5546875" style="7" hidden="1" customWidth="1"/>
    <col min="83" max="109" width="0" style="7" hidden="1" customWidth="1"/>
    <col min="110" max="16384" width="9.109375" style="7" hidden="1"/>
  </cols>
  <sheetData>
    <row r="1" spans="1:82" s="122" customFormat="1" ht="25.2" x14ac:dyDescent="0.45">
      <c r="A1" s="118" t="str">
        <f ca="1" xml:space="preserve"> RIGHT(CELL("filename", $A$1), LEN(CELL("filename", $A$1)) - SEARCH("]", CELL("filename", $A$1)))</f>
        <v>InpR</v>
      </c>
      <c r="C1" s="132"/>
    </row>
    <row r="2" spans="1:82" s="26" customFormat="1" x14ac:dyDescent="0.25">
      <c r="A2" s="62"/>
      <c r="B2" s="58"/>
      <c r="C2" s="113"/>
      <c r="D2" s="52"/>
      <c r="E2" s="26" t="str">
        <f>Time!E$22</f>
        <v>Model Period BEG</v>
      </c>
      <c r="F2" s="29">
        <f xml:space="preserve"> Checks!$F$9</f>
        <v>0</v>
      </c>
      <c r="G2" s="7" t="s">
        <v>71</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f>Time!J$86</f>
        <v>2018</v>
      </c>
      <c r="K5">
        <f>Time!K$86</f>
        <v>2019</v>
      </c>
      <c r="L5">
        <f>Time!L$86</f>
        <v>2020</v>
      </c>
      <c r="M5">
        <f>Time!M$86</f>
        <v>2021</v>
      </c>
      <c r="N5">
        <f>Time!N$86</f>
        <v>2022</v>
      </c>
      <c r="O5">
        <f>Time!O$86</f>
        <v>2023</v>
      </c>
      <c r="P5">
        <f>Time!P$86</f>
        <v>2024</v>
      </c>
      <c r="Q5">
        <f>Time!Q$86</f>
        <v>2025</v>
      </c>
      <c r="R5">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72</v>
      </c>
      <c r="G7" s="5" t="s">
        <v>73</v>
      </c>
      <c r="H7" s="5" t="s">
        <v>93</v>
      </c>
      <c r="I7" s="5" t="s">
        <v>368</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50"/>
      <c r="B8" s="61"/>
      <c r="C8" s="116"/>
      <c r="D8" s="55"/>
    </row>
    <row r="9" spans="1:82" x14ac:dyDescent="0.25">
      <c r="A9" s="285" t="s">
        <v>74</v>
      </c>
      <c r="B9" s="286"/>
      <c r="C9" s="287"/>
      <c r="D9" s="287"/>
      <c r="E9" s="287"/>
      <c r="F9" s="287"/>
      <c r="G9" s="287"/>
      <c r="H9" s="287"/>
      <c r="I9" s="287"/>
      <c r="J9" s="287"/>
      <c r="K9" s="287"/>
      <c r="L9" s="287"/>
      <c r="M9" s="287"/>
      <c r="N9" s="287"/>
      <c r="O9" s="287"/>
      <c r="P9" s="287"/>
      <c r="Q9" s="287"/>
      <c r="R9" s="287"/>
    </row>
    <row r="10" spans="1:82" x14ac:dyDescent="0.25">
      <c r="C10" s="9"/>
      <c r="E10" s="91"/>
    </row>
    <row r="11" spans="1:82" x14ac:dyDescent="0.25">
      <c r="C11" s="9"/>
      <c r="E11" s="91" t="s">
        <v>75</v>
      </c>
      <c r="F11" s="16">
        <v>42826</v>
      </c>
      <c r="G11" s="25" t="s">
        <v>76</v>
      </c>
    </row>
    <row r="12" spans="1:82" x14ac:dyDescent="0.25">
      <c r="C12" s="9"/>
      <c r="E12" s="91"/>
      <c r="F12" s="17"/>
    </row>
    <row r="13" spans="1:82" x14ac:dyDescent="0.25">
      <c r="C13" s="9"/>
      <c r="E13" s="91" t="s">
        <v>77</v>
      </c>
      <c r="F13" s="16">
        <v>43921</v>
      </c>
      <c r="G13" s="25" t="s">
        <v>76</v>
      </c>
    </row>
    <row r="14" spans="1:82" x14ac:dyDescent="0.25">
      <c r="C14" s="9"/>
      <c r="E14" s="92"/>
      <c r="F14" s="17"/>
      <c r="G14" s="18"/>
    </row>
    <row r="15" spans="1:82" x14ac:dyDescent="0.25">
      <c r="C15" s="9"/>
      <c r="E15" s="91" t="s">
        <v>78</v>
      </c>
      <c r="F15" s="16">
        <v>43921</v>
      </c>
      <c r="G15" s="25" t="s">
        <v>76</v>
      </c>
    </row>
    <row r="16" spans="1:82" x14ac:dyDescent="0.25">
      <c r="A16" s="24"/>
      <c r="B16" s="23"/>
      <c r="C16" s="23"/>
      <c r="D16" s="22"/>
      <c r="E16" s="92" t="s">
        <v>79</v>
      </c>
      <c r="F16" s="19">
        <v>5</v>
      </c>
      <c r="G16" s="20" t="s">
        <v>80</v>
      </c>
    </row>
    <row r="17" spans="1:19" x14ac:dyDescent="0.25">
      <c r="C17" s="9"/>
      <c r="E17" s="92" t="s">
        <v>81</v>
      </c>
      <c r="F17" s="17">
        <f>DATE(YEAR(F15)+F16,MONTH(F15),DAY(F15))</f>
        <v>45747</v>
      </c>
      <c r="G17" s="18" t="s">
        <v>76</v>
      </c>
    </row>
    <row r="18" spans="1:19" x14ac:dyDescent="0.25">
      <c r="C18" s="9"/>
      <c r="E18" s="91"/>
      <c r="F18" s="17"/>
    </row>
    <row r="19" spans="1:19" x14ac:dyDescent="0.25">
      <c r="C19" s="9"/>
      <c r="E19" s="91"/>
      <c r="F19" s="17"/>
    </row>
    <row r="20" spans="1:19" x14ac:dyDescent="0.25">
      <c r="C20" s="9"/>
      <c r="E20" s="91" t="s">
        <v>82</v>
      </c>
      <c r="F20" s="16">
        <v>44286</v>
      </c>
      <c r="G20" s="7" t="s">
        <v>76</v>
      </c>
    </row>
    <row r="21" spans="1:19" x14ac:dyDescent="0.25">
      <c r="C21" s="9"/>
      <c r="E21" s="91" t="s">
        <v>83</v>
      </c>
      <c r="F21" s="16">
        <v>45747</v>
      </c>
      <c r="G21" s="7" t="s">
        <v>76</v>
      </c>
    </row>
    <row r="22" spans="1:19" x14ac:dyDescent="0.25">
      <c r="C22" s="9"/>
      <c r="E22" s="91" t="s">
        <v>84</v>
      </c>
      <c r="F22" s="44">
        <v>2018</v>
      </c>
      <c r="G22" s="7" t="s">
        <v>85</v>
      </c>
    </row>
    <row r="23" spans="1:19" x14ac:dyDescent="0.25">
      <c r="C23" s="9"/>
      <c r="E23" s="91" t="s">
        <v>86</v>
      </c>
      <c r="F23" s="19">
        <v>3</v>
      </c>
      <c r="G23" s="7" t="s">
        <v>87</v>
      </c>
    </row>
    <row r="24" spans="1:19" x14ac:dyDescent="0.25">
      <c r="A24" s="50"/>
      <c r="B24" s="61"/>
      <c r="C24" s="116"/>
      <c r="D24" s="55"/>
    </row>
    <row r="25" spans="1:19" x14ac:dyDescent="0.25">
      <c r="A25" s="285" t="s">
        <v>181</v>
      </c>
      <c r="B25" s="286"/>
      <c r="C25" s="287"/>
      <c r="D25" s="287"/>
      <c r="E25" s="287"/>
      <c r="F25" s="287"/>
      <c r="G25" s="287"/>
      <c r="H25" s="287"/>
      <c r="I25" s="287"/>
      <c r="J25" s="287"/>
      <c r="K25" s="287"/>
      <c r="L25" s="287"/>
      <c r="M25" s="287"/>
      <c r="N25" s="287"/>
      <c r="O25" s="287"/>
      <c r="P25" s="287"/>
      <c r="Q25" s="287"/>
      <c r="R25" s="287"/>
    </row>
    <row r="26" spans="1:19" x14ac:dyDescent="0.25">
      <c r="A26" s="50"/>
      <c r="B26" s="61" t="s">
        <v>182</v>
      </c>
      <c r="C26" s="116"/>
      <c r="D26" s="55"/>
    </row>
    <row r="27" spans="1:19" x14ac:dyDescent="0.25">
      <c r="A27" s="50"/>
      <c r="B27" s="61"/>
      <c r="C27" s="116"/>
      <c r="D27" s="55"/>
      <c r="E27" s="91" t="s">
        <v>187</v>
      </c>
      <c r="G27" s="91" t="s">
        <v>188</v>
      </c>
      <c r="I27" s="6" t="s">
        <v>383</v>
      </c>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x14ac:dyDescent="0.25">
      <c r="A28" s="50"/>
      <c r="B28" s="61"/>
      <c r="C28" s="116"/>
      <c r="D28" s="55"/>
      <c r="E28" s="91" t="s">
        <v>189</v>
      </c>
      <c r="G28" s="91" t="s">
        <v>188</v>
      </c>
      <c r="I28" s="6" t="s">
        <v>384</v>
      </c>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x14ac:dyDescent="0.25">
      <c r="A29" s="50"/>
      <c r="B29" s="61"/>
      <c r="C29" s="116"/>
      <c r="D29" s="55"/>
      <c r="E29" s="91" t="s">
        <v>190</v>
      </c>
      <c r="G29" s="91" t="s">
        <v>188</v>
      </c>
      <c r="I29" s="6" t="s">
        <v>385</v>
      </c>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x14ac:dyDescent="0.25">
      <c r="A30" s="50"/>
      <c r="B30" s="61"/>
      <c r="C30" s="116"/>
      <c r="D30" s="55"/>
      <c r="E30" s="91" t="s">
        <v>191</v>
      </c>
      <c r="G30" s="91" t="s">
        <v>188</v>
      </c>
      <c r="I30" s="6" t="s">
        <v>386</v>
      </c>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x14ac:dyDescent="0.25">
      <c r="A31" s="50"/>
      <c r="B31" s="61"/>
      <c r="C31" s="116"/>
      <c r="D31" s="55"/>
      <c r="E31" s="91" t="s">
        <v>192</v>
      </c>
      <c r="G31" s="91" t="s">
        <v>188</v>
      </c>
      <c r="I31" s="6" t="s">
        <v>387</v>
      </c>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x14ac:dyDescent="0.25">
      <c r="A32" s="50"/>
      <c r="B32" s="61"/>
      <c r="C32" s="116"/>
      <c r="D32" s="55"/>
      <c r="E32" s="91" t="s">
        <v>193</v>
      </c>
      <c r="G32" s="91" t="s">
        <v>188</v>
      </c>
      <c r="I32" s="6" t="s">
        <v>388</v>
      </c>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x14ac:dyDescent="0.25">
      <c r="A33" s="50"/>
      <c r="B33" s="61"/>
      <c r="C33" s="116"/>
      <c r="D33" s="55"/>
      <c r="E33" s="91" t="s">
        <v>194</v>
      </c>
      <c r="G33" s="91" t="s">
        <v>188</v>
      </c>
      <c r="I33" s="6" t="s">
        <v>389</v>
      </c>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x14ac:dyDescent="0.25">
      <c r="A34" s="50"/>
      <c r="B34" s="61"/>
      <c r="C34" s="116"/>
      <c r="D34" s="55"/>
      <c r="E34" s="91" t="s">
        <v>195</v>
      </c>
      <c r="G34" s="91" t="s">
        <v>188</v>
      </c>
      <c r="I34" s="6" t="s">
        <v>390</v>
      </c>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x14ac:dyDescent="0.25">
      <c r="A35" s="50"/>
      <c r="B35" s="61"/>
      <c r="C35" s="116"/>
      <c r="D35" s="55"/>
      <c r="E35" s="91" t="s">
        <v>196</v>
      </c>
      <c r="G35" s="91" t="s">
        <v>188</v>
      </c>
      <c r="I35" s="6" t="s">
        <v>391</v>
      </c>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x14ac:dyDescent="0.25">
      <c r="A36" s="50"/>
      <c r="B36" s="61"/>
      <c r="C36" s="116"/>
      <c r="D36" s="55"/>
      <c r="E36" s="91" t="s">
        <v>197</v>
      </c>
      <c r="G36" s="91" t="s">
        <v>188</v>
      </c>
      <c r="I36" s="6" t="s">
        <v>392</v>
      </c>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x14ac:dyDescent="0.25">
      <c r="A37" s="50"/>
      <c r="B37" s="61"/>
      <c r="C37" s="116"/>
      <c r="D37" s="55"/>
      <c r="E37" s="91" t="s">
        <v>198</v>
      </c>
      <c r="G37" s="91" t="s">
        <v>188</v>
      </c>
      <c r="I37" s="6" t="s">
        <v>393</v>
      </c>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x14ac:dyDescent="0.25">
      <c r="A38" s="50"/>
      <c r="B38" s="61"/>
      <c r="C38" s="116"/>
      <c r="D38" s="55"/>
      <c r="E38" s="91" t="s">
        <v>199</v>
      </c>
      <c r="G38" s="91" t="s">
        <v>188</v>
      </c>
      <c r="I38" s="6" t="s">
        <v>394</v>
      </c>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x14ac:dyDescent="0.25">
      <c r="A39" s="49"/>
      <c r="B39" s="61"/>
      <c r="C39" s="116"/>
      <c r="D39" s="57"/>
      <c r="E39" s="92"/>
      <c r="F39" s="92"/>
      <c r="G39" s="92"/>
      <c r="I39" s="167"/>
      <c r="K39" s="230"/>
      <c r="L39" s="230"/>
      <c r="M39" s="230"/>
      <c r="N39" s="230"/>
      <c r="O39" s="230"/>
      <c r="P39" s="230"/>
      <c r="Q39" s="230"/>
      <c r="R39" s="230"/>
    </row>
    <row r="40" spans="1:19" x14ac:dyDescent="0.25">
      <c r="A40" s="50"/>
      <c r="B40" s="61" t="s">
        <v>183</v>
      </c>
      <c r="C40" s="116"/>
      <c r="D40" s="55"/>
      <c r="I40" s="6"/>
    </row>
    <row r="41" spans="1:19" x14ac:dyDescent="0.25">
      <c r="A41" s="50"/>
      <c r="B41" s="61"/>
      <c r="C41" s="116"/>
      <c r="D41" s="55"/>
      <c r="E41" s="91" t="s">
        <v>200</v>
      </c>
      <c r="G41" s="91" t="s">
        <v>188</v>
      </c>
      <c r="I41" s="6" t="s">
        <v>395</v>
      </c>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x14ac:dyDescent="0.25">
      <c r="A42" s="50"/>
      <c r="B42" s="61"/>
      <c r="C42" s="116"/>
      <c r="D42" s="55"/>
      <c r="E42" s="91" t="s">
        <v>201</v>
      </c>
      <c r="G42" s="91" t="s">
        <v>188</v>
      </c>
      <c r="I42" s="6" t="s">
        <v>396</v>
      </c>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x14ac:dyDescent="0.25">
      <c r="A43" s="50"/>
      <c r="B43" s="61"/>
      <c r="C43" s="116"/>
      <c r="D43" s="55"/>
      <c r="E43" s="91" t="s">
        <v>202</v>
      </c>
      <c r="G43" s="91" t="s">
        <v>188</v>
      </c>
      <c r="I43" s="6" t="s">
        <v>397</v>
      </c>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x14ac:dyDescent="0.25">
      <c r="A44" s="50"/>
      <c r="B44" s="61"/>
      <c r="C44" s="116"/>
      <c r="D44" s="55"/>
      <c r="E44" s="91" t="s">
        <v>203</v>
      </c>
      <c r="G44" s="91" t="s">
        <v>188</v>
      </c>
      <c r="I44" s="6" t="s">
        <v>398</v>
      </c>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x14ac:dyDescent="0.25">
      <c r="A45" s="50"/>
      <c r="B45" s="61"/>
      <c r="C45" s="116"/>
      <c r="D45" s="55"/>
      <c r="E45" s="91" t="s">
        <v>204</v>
      </c>
      <c r="G45" s="91" t="s">
        <v>188</v>
      </c>
      <c r="I45" s="6" t="s">
        <v>399</v>
      </c>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x14ac:dyDescent="0.25">
      <c r="A46" s="50"/>
      <c r="B46" s="61"/>
      <c r="C46" s="116"/>
      <c r="D46" s="55"/>
      <c r="E46" s="91" t="s">
        <v>205</v>
      </c>
      <c r="G46" s="91" t="s">
        <v>188</v>
      </c>
      <c r="I46" s="6" t="s">
        <v>400</v>
      </c>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x14ac:dyDescent="0.25">
      <c r="A47" s="50"/>
      <c r="B47" s="61"/>
      <c r="C47" s="116"/>
      <c r="D47" s="55"/>
      <c r="E47" s="91" t="s">
        <v>206</v>
      </c>
      <c r="G47" s="91" t="s">
        <v>188</v>
      </c>
      <c r="I47" s="6" t="s">
        <v>401</v>
      </c>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x14ac:dyDescent="0.25">
      <c r="A48" s="50"/>
      <c r="B48" s="61"/>
      <c r="C48" s="116"/>
      <c r="D48" s="55"/>
      <c r="E48" s="91" t="s">
        <v>207</v>
      </c>
      <c r="G48" s="91" t="s">
        <v>188</v>
      </c>
      <c r="I48" s="6" t="s">
        <v>402</v>
      </c>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x14ac:dyDescent="0.25">
      <c r="A49" s="50"/>
      <c r="B49" s="61"/>
      <c r="C49" s="116"/>
      <c r="D49" s="55"/>
      <c r="E49" s="91" t="s">
        <v>208</v>
      </c>
      <c r="G49" s="91" t="s">
        <v>188</v>
      </c>
      <c r="I49" s="6" t="s">
        <v>403</v>
      </c>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x14ac:dyDescent="0.25">
      <c r="A50" s="50"/>
      <c r="B50" s="61"/>
      <c r="C50" s="116"/>
      <c r="D50" s="55"/>
      <c r="E50" s="91" t="s">
        <v>209</v>
      </c>
      <c r="G50" s="91" t="s">
        <v>188</v>
      </c>
      <c r="I50" s="6" t="s">
        <v>404</v>
      </c>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x14ac:dyDescent="0.25">
      <c r="A51" s="50"/>
      <c r="B51" s="61"/>
      <c r="C51" s="116"/>
      <c r="D51" s="55"/>
      <c r="E51" s="91" t="s">
        <v>210</v>
      </c>
      <c r="G51" s="91" t="s">
        <v>188</v>
      </c>
      <c r="I51" s="6" t="s">
        <v>405</v>
      </c>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x14ac:dyDescent="0.25">
      <c r="A52" s="50"/>
      <c r="B52" s="61"/>
      <c r="C52" s="116"/>
      <c r="D52" s="55"/>
      <c r="E52" s="91" t="s">
        <v>211</v>
      </c>
      <c r="F52" s="91"/>
      <c r="G52" s="91" t="s">
        <v>188</v>
      </c>
      <c r="I52" s="6" t="s">
        <v>406</v>
      </c>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5">
      <c r="A53" s="50"/>
      <c r="B53" s="61"/>
      <c r="C53" s="116"/>
      <c r="D53" s="55"/>
      <c r="I53" s="6"/>
    </row>
    <row r="54" spans="1:19" x14ac:dyDescent="0.25">
      <c r="A54" s="285" t="s">
        <v>184</v>
      </c>
      <c r="B54" s="286"/>
      <c r="C54" s="287"/>
      <c r="D54" s="287"/>
      <c r="E54" s="287"/>
      <c r="F54" s="287"/>
      <c r="G54" s="287"/>
      <c r="H54" s="287"/>
      <c r="I54" s="287"/>
      <c r="J54" s="287"/>
      <c r="K54" s="287"/>
      <c r="L54" s="287"/>
      <c r="M54" s="287"/>
      <c r="N54" s="287"/>
      <c r="O54" s="287"/>
      <c r="P54" s="287"/>
      <c r="Q54" s="287"/>
      <c r="R54" s="287"/>
    </row>
    <row r="55" spans="1:19" x14ac:dyDescent="0.25">
      <c r="A55" s="50"/>
      <c r="B55" s="61" t="s">
        <v>185</v>
      </c>
      <c r="C55" s="116"/>
      <c r="D55" s="55"/>
      <c r="I55" s="6"/>
    </row>
    <row r="56" spans="1:19" x14ac:dyDescent="0.25">
      <c r="A56" s="50"/>
      <c r="B56" s="61"/>
      <c r="C56" s="116"/>
      <c r="D56" s="55"/>
      <c r="E56" s="91" t="s">
        <v>212</v>
      </c>
      <c r="G56" s="91" t="s">
        <v>188</v>
      </c>
      <c r="I56" s="6" t="s">
        <v>428</v>
      </c>
      <c r="J56" s="30"/>
      <c r="K56" s="228">
        <f>K27</f>
        <v>279.7</v>
      </c>
      <c r="L56" s="228">
        <v>288.2</v>
      </c>
      <c r="M56" s="228">
        <v>292.60000000000002</v>
      </c>
      <c r="N56" s="228">
        <v>301.10000000000002</v>
      </c>
      <c r="O56" s="228">
        <v>334.6</v>
      </c>
      <c r="P56" s="228">
        <v>372.8</v>
      </c>
      <c r="Q56" s="228">
        <v>389.57599999999996</v>
      </c>
      <c r="R56" s="228"/>
    </row>
    <row r="57" spans="1:19" x14ac:dyDescent="0.25">
      <c r="A57" s="50"/>
      <c r="B57" s="61"/>
      <c r="C57" s="116"/>
      <c r="D57" s="55"/>
      <c r="E57" s="91" t="s">
        <v>213</v>
      </c>
      <c r="G57" s="91" t="s">
        <v>188</v>
      </c>
      <c r="I57" s="6" t="s">
        <v>428</v>
      </c>
      <c r="J57" s="30"/>
      <c r="K57" s="228">
        <f t="shared" ref="K57" si="0">K28</f>
        <v>280.7</v>
      </c>
      <c r="L57" s="228">
        <v>289.2</v>
      </c>
      <c r="M57" s="228">
        <v>292.2</v>
      </c>
      <c r="N57" s="228">
        <v>301.89999999999998</v>
      </c>
      <c r="O57" s="228">
        <v>337.1</v>
      </c>
      <c r="P57" s="228">
        <v>374.18100000000004</v>
      </c>
      <c r="Q57" s="228">
        <v>389.14824000000004</v>
      </c>
      <c r="R57" s="228"/>
    </row>
    <row r="58" spans="1:19" x14ac:dyDescent="0.25">
      <c r="A58" s="50"/>
      <c r="B58" s="61"/>
      <c r="C58" s="116"/>
      <c r="D58" s="55"/>
      <c r="E58" s="91" t="s">
        <v>214</v>
      </c>
      <c r="G58" s="91" t="s">
        <v>188</v>
      </c>
      <c r="I58" s="6" t="s">
        <v>428</v>
      </c>
      <c r="J58" s="30"/>
      <c r="K58" s="228">
        <f t="shared" ref="K58" si="1">K29</f>
        <v>281.5</v>
      </c>
      <c r="L58" s="228">
        <v>289.60000000000002</v>
      </c>
      <c r="M58" s="228">
        <v>292.7</v>
      </c>
      <c r="N58" s="228">
        <v>304</v>
      </c>
      <c r="O58" s="228">
        <v>340</v>
      </c>
      <c r="P58" s="228">
        <v>377.40000000000003</v>
      </c>
      <c r="Q58" s="228">
        <v>392.49600000000004</v>
      </c>
      <c r="R58" s="228"/>
    </row>
    <row r="59" spans="1:19" x14ac:dyDescent="0.25">
      <c r="A59" s="50"/>
      <c r="B59" s="61"/>
      <c r="C59" s="116"/>
      <c r="D59" s="55"/>
      <c r="E59" s="91" t="s">
        <v>215</v>
      </c>
      <c r="G59" s="91" t="s">
        <v>188</v>
      </c>
      <c r="I59" s="6" t="s">
        <v>428</v>
      </c>
      <c r="J59" s="30"/>
      <c r="K59" s="228">
        <f t="shared" ref="K59" si="2">K30</f>
        <v>281.7</v>
      </c>
      <c r="L59" s="228">
        <v>289.5</v>
      </c>
      <c r="M59" s="228">
        <v>294.2</v>
      </c>
      <c r="N59" s="228">
        <v>305.5</v>
      </c>
      <c r="O59" s="228">
        <v>343.2</v>
      </c>
      <c r="P59" s="228">
        <v>374.08800000000002</v>
      </c>
      <c r="Q59" s="228">
        <v>389.05152000000004</v>
      </c>
      <c r="R59" s="228"/>
    </row>
    <row r="60" spans="1:19" x14ac:dyDescent="0.25">
      <c r="A60" s="50"/>
      <c r="B60" s="61"/>
      <c r="C60" s="116"/>
      <c r="D60" s="55"/>
      <c r="E60" s="91" t="s">
        <v>216</v>
      </c>
      <c r="G60" s="91" t="s">
        <v>188</v>
      </c>
      <c r="I60" s="6" t="s">
        <v>428</v>
      </c>
      <c r="J60" s="30"/>
      <c r="K60" s="228">
        <f t="shared" ref="K60" si="3">K31</f>
        <v>284.2</v>
      </c>
      <c r="L60" s="228">
        <v>291.7</v>
      </c>
      <c r="M60" s="228">
        <v>293.3</v>
      </c>
      <c r="N60" s="228">
        <v>307.39999999999998</v>
      </c>
      <c r="O60" s="228">
        <v>345.2</v>
      </c>
      <c r="P60" s="228">
        <v>376.26800000000003</v>
      </c>
      <c r="Q60" s="228">
        <v>391.31872000000004</v>
      </c>
      <c r="R60" s="228"/>
    </row>
    <row r="61" spans="1:19" x14ac:dyDescent="0.25">
      <c r="A61" s="50"/>
      <c r="B61" s="61"/>
      <c r="C61" s="116"/>
      <c r="D61" s="55"/>
      <c r="E61" s="91" t="s">
        <v>217</v>
      </c>
      <c r="G61" s="91" t="s">
        <v>188</v>
      </c>
      <c r="I61" s="6" t="s">
        <v>428</v>
      </c>
      <c r="J61" s="30"/>
      <c r="K61" s="228">
        <f t="shared" ref="K61" si="4">K32</f>
        <v>284.10000000000002</v>
      </c>
      <c r="L61" s="228">
        <v>291</v>
      </c>
      <c r="M61" s="228">
        <v>294.3</v>
      </c>
      <c r="N61" s="228">
        <v>308.60000000000002</v>
      </c>
      <c r="O61" s="228">
        <v>347.6</v>
      </c>
      <c r="P61" s="228">
        <v>377.14600000000002</v>
      </c>
      <c r="Q61" s="228">
        <v>392.23184000000003</v>
      </c>
      <c r="R61" s="228"/>
    </row>
    <row r="62" spans="1:19" x14ac:dyDescent="0.25">
      <c r="A62" s="50"/>
      <c r="B62" s="61"/>
      <c r="C62" s="116"/>
      <c r="D62" s="55"/>
      <c r="E62" s="91" t="s">
        <v>218</v>
      </c>
      <c r="G62" s="91" t="s">
        <v>188</v>
      </c>
      <c r="I62" s="6" t="s">
        <v>428</v>
      </c>
      <c r="J62" s="30"/>
      <c r="K62" s="228">
        <f t="shared" ref="K62" si="5">K33</f>
        <v>284.5</v>
      </c>
      <c r="L62" s="228">
        <v>290.39999999999998</v>
      </c>
      <c r="M62" s="228">
        <v>294.3</v>
      </c>
      <c r="N62" s="228">
        <v>312</v>
      </c>
      <c r="O62" s="228">
        <v>356.2</v>
      </c>
      <c r="P62" s="228">
        <v>379.35299999999995</v>
      </c>
      <c r="Q62" s="228">
        <v>394.52711999999997</v>
      </c>
      <c r="R62" s="228"/>
    </row>
    <row r="63" spans="1:19" x14ac:dyDescent="0.25">
      <c r="A63" s="50"/>
      <c r="B63" s="61"/>
      <c r="C63" s="116"/>
      <c r="D63" s="55"/>
      <c r="E63" s="91" t="s">
        <v>219</v>
      </c>
      <c r="G63" s="91" t="s">
        <v>188</v>
      </c>
      <c r="I63" s="6" t="s">
        <v>428</v>
      </c>
      <c r="J63" s="30"/>
      <c r="K63" s="228">
        <f t="shared" ref="K63" si="6">K34</f>
        <v>284.60000000000002</v>
      </c>
      <c r="L63" s="228">
        <v>291</v>
      </c>
      <c r="M63" s="228">
        <v>293.5</v>
      </c>
      <c r="N63" s="228">
        <v>314.3</v>
      </c>
      <c r="O63" s="228">
        <v>358.3</v>
      </c>
      <c r="P63" s="228">
        <v>379.79800000000006</v>
      </c>
      <c r="Q63" s="228">
        <v>394.9899200000001</v>
      </c>
      <c r="R63" s="228"/>
    </row>
    <row r="64" spans="1:19" x14ac:dyDescent="0.25">
      <c r="A64" s="50"/>
      <c r="B64" s="61"/>
      <c r="C64" s="116"/>
      <c r="D64" s="55"/>
      <c r="E64" s="91" t="s">
        <v>220</v>
      </c>
      <c r="G64" s="91" t="s">
        <v>188</v>
      </c>
      <c r="I64" s="6" t="s">
        <v>428</v>
      </c>
      <c r="J64" s="30"/>
      <c r="K64" s="228">
        <f t="shared" ref="K64" si="7">K35</f>
        <v>285.60000000000002</v>
      </c>
      <c r="L64" s="228">
        <v>291.89999999999998</v>
      </c>
      <c r="M64" s="228">
        <v>295.39999999999998</v>
      </c>
      <c r="N64" s="228">
        <v>317.7</v>
      </c>
      <c r="O64" s="228">
        <v>360.4</v>
      </c>
      <c r="P64" s="228">
        <v>382.024</v>
      </c>
      <c r="Q64" s="228">
        <v>397.30495999999999</v>
      </c>
      <c r="R64" s="228"/>
    </row>
    <row r="65" spans="1:18" x14ac:dyDescent="0.25">
      <c r="A65" s="50"/>
      <c r="B65" s="61"/>
      <c r="C65" s="116"/>
      <c r="D65" s="55"/>
      <c r="E65" s="91" t="s">
        <v>221</v>
      </c>
      <c r="G65" s="91" t="s">
        <v>188</v>
      </c>
      <c r="I65" s="6" t="s">
        <v>428</v>
      </c>
      <c r="J65" s="30"/>
      <c r="K65" s="228">
        <f t="shared" ref="K65" si="8">K36</f>
        <v>283</v>
      </c>
      <c r="L65" s="228">
        <v>290.60000000000002</v>
      </c>
      <c r="M65" s="228">
        <v>294.60000000000002</v>
      </c>
      <c r="N65" s="228">
        <v>317.7</v>
      </c>
      <c r="O65" s="228">
        <v>360.3</v>
      </c>
      <c r="P65" s="228">
        <v>381.91800000000001</v>
      </c>
      <c r="Q65" s="228">
        <v>393.37554</v>
      </c>
      <c r="R65" s="228"/>
    </row>
    <row r="66" spans="1:18" x14ac:dyDescent="0.25">
      <c r="A66" s="50"/>
      <c r="B66" s="61"/>
      <c r="C66" s="116"/>
      <c r="D66" s="55"/>
      <c r="E66" s="91" t="s">
        <v>222</v>
      </c>
      <c r="G66" s="91" t="s">
        <v>188</v>
      </c>
      <c r="I66" s="6" t="s">
        <v>428</v>
      </c>
      <c r="J66" s="30"/>
      <c r="K66" s="228">
        <f t="shared" ref="K66" si="9">K37</f>
        <v>285</v>
      </c>
      <c r="L66" s="228">
        <v>292</v>
      </c>
      <c r="M66" s="228">
        <v>296</v>
      </c>
      <c r="N66" s="228">
        <v>320.2</v>
      </c>
      <c r="O66" s="228">
        <v>364.5</v>
      </c>
      <c r="P66" s="228">
        <v>384.54749999999996</v>
      </c>
      <c r="Q66" s="228">
        <v>396.08392499999997</v>
      </c>
      <c r="R66" s="228"/>
    </row>
    <row r="67" spans="1:18" x14ac:dyDescent="0.25">
      <c r="A67" s="50"/>
      <c r="B67" s="61"/>
      <c r="C67" s="116"/>
      <c r="D67" s="55"/>
      <c r="E67" s="91" t="s">
        <v>223</v>
      </c>
      <c r="G67" s="91" t="s">
        <v>188</v>
      </c>
      <c r="I67" s="6" t="s">
        <v>428</v>
      </c>
      <c r="J67" s="30"/>
      <c r="K67" s="228">
        <f t="shared" ref="K67" si="10">K38</f>
        <v>285.10000000000002</v>
      </c>
      <c r="L67" s="228">
        <v>292.60000000000002</v>
      </c>
      <c r="M67" s="228">
        <v>296.89999999999998</v>
      </c>
      <c r="N67" s="228">
        <v>323.5</v>
      </c>
      <c r="O67" s="228">
        <v>367.2</v>
      </c>
      <c r="P67" s="228">
        <v>385.56</v>
      </c>
      <c r="Q67" s="228">
        <v>397.1268</v>
      </c>
      <c r="R67" s="228"/>
    </row>
    <row r="68" spans="1:18" x14ac:dyDescent="0.25">
      <c r="A68" s="50"/>
      <c r="B68" s="61"/>
      <c r="C68" s="116"/>
      <c r="D68" s="55"/>
      <c r="E68" s="91"/>
      <c r="F68" s="91"/>
      <c r="G68" s="91"/>
      <c r="I68" s="171"/>
    </row>
    <row r="69" spans="1:18" x14ac:dyDescent="0.25">
      <c r="A69" s="50"/>
      <c r="B69" s="61" t="s">
        <v>186</v>
      </c>
      <c r="C69" s="116"/>
      <c r="D69" s="55"/>
      <c r="I69" s="6"/>
    </row>
    <row r="70" spans="1:18" x14ac:dyDescent="0.25">
      <c r="A70" s="50"/>
      <c r="B70" s="61"/>
      <c r="C70" s="116"/>
      <c r="D70" s="55"/>
      <c r="E70" s="91" t="s">
        <v>224</v>
      </c>
      <c r="G70" s="91" t="s">
        <v>188</v>
      </c>
      <c r="I70" s="6" t="s">
        <v>427</v>
      </c>
      <c r="J70" s="228">
        <f t="shared" ref="J70:K81" si="11">J41</f>
        <v>103.2</v>
      </c>
      <c r="K70" s="228">
        <f t="shared" si="11"/>
        <v>105.5</v>
      </c>
      <c r="L70" s="228">
        <v>107.6</v>
      </c>
      <c r="M70" s="228">
        <v>108.6</v>
      </c>
      <c r="N70" s="228">
        <v>110.4</v>
      </c>
      <c r="O70" s="228">
        <v>119</v>
      </c>
      <c r="P70" s="228">
        <v>128.30000000000001</v>
      </c>
      <c r="Q70" s="228">
        <v>131.50749999999999</v>
      </c>
      <c r="R70" s="228"/>
    </row>
    <row r="71" spans="1:18" x14ac:dyDescent="0.25">
      <c r="A71" s="50"/>
      <c r="B71" s="61"/>
      <c r="C71" s="116"/>
      <c r="D71" s="55"/>
      <c r="E71" s="91" t="s">
        <v>225</v>
      </c>
      <c r="G71" s="91" t="s">
        <v>188</v>
      </c>
      <c r="I71" s="6" t="s">
        <v>427</v>
      </c>
      <c r="J71" s="228">
        <f t="shared" si="11"/>
        <v>103.5</v>
      </c>
      <c r="K71" s="228">
        <f t="shared" si="11"/>
        <v>105.9</v>
      </c>
      <c r="L71" s="228">
        <v>107.9</v>
      </c>
      <c r="M71" s="228">
        <v>108.6</v>
      </c>
      <c r="N71" s="228">
        <v>111</v>
      </c>
      <c r="O71" s="228">
        <v>119.7</v>
      </c>
      <c r="P71" s="228">
        <v>128.67750000000001</v>
      </c>
      <c r="Q71" s="228">
        <v>131.89443750000001</v>
      </c>
      <c r="R71" s="228"/>
    </row>
    <row r="72" spans="1:18" x14ac:dyDescent="0.25">
      <c r="A72" s="50"/>
      <c r="B72" s="61"/>
      <c r="C72" s="116"/>
      <c r="D72" s="55"/>
      <c r="E72" s="91" t="s">
        <v>226</v>
      </c>
      <c r="G72" s="91" t="s">
        <v>188</v>
      </c>
      <c r="I72" s="6" t="s">
        <v>427</v>
      </c>
      <c r="J72" s="228">
        <f t="shared" si="11"/>
        <v>103.5</v>
      </c>
      <c r="K72" s="228">
        <f t="shared" si="11"/>
        <v>105.9</v>
      </c>
      <c r="L72" s="228">
        <v>107.9</v>
      </c>
      <c r="M72" s="228">
        <v>108.8</v>
      </c>
      <c r="N72" s="228">
        <v>111.4</v>
      </c>
      <c r="O72" s="228">
        <v>120.5</v>
      </c>
      <c r="P72" s="228">
        <v>128.935</v>
      </c>
      <c r="Q72" s="228">
        <v>132.15837499999998</v>
      </c>
      <c r="R72" s="228"/>
    </row>
    <row r="73" spans="1:18" x14ac:dyDescent="0.25">
      <c r="A73" s="50"/>
      <c r="B73" s="61"/>
      <c r="C73" s="116"/>
      <c r="D73" s="55"/>
      <c r="E73" s="91" t="s">
        <v>227</v>
      </c>
      <c r="G73" s="91" t="s">
        <v>188</v>
      </c>
      <c r="I73" s="6" t="s">
        <v>427</v>
      </c>
      <c r="J73" s="228">
        <f t="shared" si="11"/>
        <v>103.5</v>
      </c>
      <c r="K73" s="228">
        <f t="shared" si="11"/>
        <v>105.9</v>
      </c>
      <c r="L73" s="228">
        <v>108</v>
      </c>
      <c r="M73" s="228">
        <v>109.2</v>
      </c>
      <c r="N73" s="228">
        <v>111.4</v>
      </c>
      <c r="O73" s="228">
        <v>121.2</v>
      </c>
      <c r="P73" s="228">
        <v>128.47200000000001</v>
      </c>
      <c r="Q73" s="228">
        <v>131.68379999999999</v>
      </c>
      <c r="R73" s="228"/>
    </row>
    <row r="74" spans="1:18" x14ac:dyDescent="0.25">
      <c r="A74" s="50"/>
      <c r="B74" s="61"/>
      <c r="C74" s="116"/>
      <c r="D74" s="55"/>
      <c r="E74" s="91" t="s">
        <v>228</v>
      </c>
      <c r="G74" s="91" t="s">
        <v>188</v>
      </c>
      <c r="I74" s="6" t="s">
        <v>427</v>
      </c>
      <c r="J74" s="228">
        <f t="shared" si="11"/>
        <v>104</v>
      </c>
      <c r="K74" s="228">
        <f t="shared" si="11"/>
        <v>106.5</v>
      </c>
      <c r="L74" s="228">
        <v>108.3</v>
      </c>
      <c r="M74" s="228">
        <v>108.8</v>
      </c>
      <c r="N74" s="228">
        <v>112.1</v>
      </c>
      <c r="O74" s="228">
        <v>121.8</v>
      </c>
      <c r="P74" s="228">
        <v>129.108</v>
      </c>
      <c r="Q74" s="228">
        <v>132.3357</v>
      </c>
      <c r="R74" s="228"/>
    </row>
    <row r="75" spans="1:18" x14ac:dyDescent="0.25">
      <c r="A75" s="50"/>
      <c r="B75" s="61"/>
      <c r="C75" s="116"/>
      <c r="D75" s="55"/>
      <c r="E75" s="91" t="s">
        <v>229</v>
      </c>
      <c r="G75" s="91" t="s">
        <v>188</v>
      </c>
      <c r="I75" s="6" t="s">
        <v>427</v>
      </c>
      <c r="J75" s="228">
        <f t="shared" si="11"/>
        <v>104.3</v>
      </c>
      <c r="K75" s="228">
        <f t="shared" si="11"/>
        <v>106.6</v>
      </c>
      <c r="L75" s="228">
        <v>108.4</v>
      </c>
      <c r="M75" s="228">
        <v>109.2</v>
      </c>
      <c r="N75" s="228">
        <v>112.4</v>
      </c>
      <c r="O75" s="228">
        <v>122.3</v>
      </c>
      <c r="P75" s="228">
        <v>129.0265</v>
      </c>
      <c r="Q75" s="228">
        <v>132.2521625</v>
      </c>
      <c r="R75" s="228"/>
    </row>
    <row r="76" spans="1:18" x14ac:dyDescent="0.25">
      <c r="A76" s="50"/>
      <c r="B76" s="61"/>
      <c r="C76" s="116"/>
      <c r="D76" s="55"/>
      <c r="E76" s="91" t="s">
        <v>230</v>
      </c>
      <c r="G76" s="91" t="s">
        <v>188</v>
      </c>
      <c r="I76" s="6" t="s">
        <v>427</v>
      </c>
      <c r="J76" s="228">
        <f t="shared" si="11"/>
        <v>104.4</v>
      </c>
      <c r="K76" s="228">
        <f t="shared" si="11"/>
        <v>106.7</v>
      </c>
      <c r="L76" s="228">
        <v>108.3</v>
      </c>
      <c r="M76" s="228">
        <v>109.2</v>
      </c>
      <c r="N76" s="228">
        <v>113.4</v>
      </c>
      <c r="O76" s="228">
        <v>124.3</v>
      </c>
      <c r="P76" s="228">
        <v>129.89349999999999</v>
      </c>
      <c r="Q76" s="228">
        <v>133.14083749999998</v>
      </c>
      <c r="R76" s="228"/>
    </row>
    <row r="77" spans="1:18" x14ac:dyDescent="0.25">
      <c r="A77" s="50"/>
      <c r="B77" s="61"/>
      <c r="C77" s="116"/>
      <c r="D77" s="55"/>
      <c r="E77" s="91" t="s">
        <v>231</v>
      </c>
      <c r="G77" s="91" t="s">
        <v>188</v>
      </c>
      <c r="I77" s="6" t="s">
        <v>427</v>
      </c>
      <c r="J77" s="228">
        <f t="shared" si="11"/>
        <v>104.7</v>
      </c>
      <c r="K77" s="228">
        <f t="shared" si="11"/>
        <v>106.9</v>
      </c>
      <c r="L77" s="228">
        <v>108.5</v>
      </c>
      <c r="M77" s="228">
        <v>109.1</v>
      </c>
      <c r="N77" s="228">
        <v>114.1</v>
      </c>
      <c r="O77" s="228">
        <v>124.8</v>
      </c>
      <c r="P77" s="228">
        <v>129.792</v>
      </c>
      <c r="Q77" s="228">
        <v>133.0368</v>
      </c>
      <c r="R77" s="228"/>
    </row>
    <row r="78" spans="1:18" x14ac:dyDescent="0.25">
      <c r="A78" s="50"/>
      <c r="B78" s="61"/>
      <c r="C78" s="116"/>
      <c r="D78" s="55"/>
      <c r="E78" s="91" t="s">
        <v>232</v>
      </c>
      <c r="G78" s="91" t="s">
        <v>188</v>
      </c>
      <c r="I78" s="6" t="s">
        <v>427</v>
      </c>
      <c r="J78" s="228">
        <f t="shared" si="11"/>
        <v>105</v>
      </c>
      <c r="K78" s="228">
        <f t="shared" si="11"/>
        <v>107.1</v>
      </c>
      <c r="L78" s="228">
        <v>108.5</v>
      </c>
      <c r="M78" s="228">
        <v>109.4</v>
      </c>
      <c r="N78" s="228">
        <v>114.7</v>
      </c>
      <c r="O78" s="228">
        <v>125.3</v>
      </c>
      <c r="P78" s="228">
        <v>130.31200000000001</v>
      </c>
      <c r="Q78" s="228">
        <v>133.56979999999999</v>
      </c>
      <c r="R78" s="228"/>
    </row>
    <row r="79" spans="1:18" x14ac:dyDescent="0.25">
      <c r="A79" s="50"/>
      <c r="B79" s="61"/>
      <c r="C79" s="116"/>
      <c r="D79" s="55"/>
      <c r="E79" s="91" t="s">
        <v>233</v>
      </c>
      <c r="G79" s="91" t="s">
        <v>188</v>
      </c>
      <c r="I79" s="6" t="s">
        <v>427</v>
      </c>
      <c r="J79" s="228">
        <f t="shared" si="11"/>
        <v>104.5</v>
      </c>
      <c r="K79" s="228">
        <f t="shared" si="11"/>
        <v>106.4</v>
      </c>
      <c r="L79" s="228">
        <v>108.3</v>
      </c>
      <c r="M79" s="228">
        <v>109.3</v>
      </c>
      <c r="N79" s="228">
        <v>114.6</v>
      </c>
      <c r="O79" s="228">
        <v>124.8</v>
      </c>
      <c r="P79" s="228">
        <v>129.792</v>
      </c>
      <c r="Q79" s="228">
        <v>132.38784000000001</v>
      </c>
      <c r="R79" s="228"/>
    </row>
    <row r="80" spans="1:18" x14ac:dyDescent="0.25">
      <c r="A80" s="50"/>
      <c r="B80" s="61"/>
      <c r="C80" s="116"/>
      <c r="D80" s="55"/>
      <c r="E80" s="91" t="s">
        <v>234</v>
      </c>
      <c r="G80" s="91" t="s">
        <v>188</v>
      </c>
      <c r="I80" s="6" t="s">
        <v>427</v>
      </c>
      <c r="J80" s="228">
        <f t="shared" si="11"/>
        <v>104.9</v>
      </c>
      <c r="K80" s="228">
        <f t="shared" si="11"/>
        <v>106.8</v>
      </c>
      <c r="L80" s="228">
        <v>108.6</v>
      </c>
      <c r="M80" s="228">
        <v>109.4</v>
      </c>
      <c r="N80" s="228">
        <v>115.4</v>
      </c>
      <c r="O80" s="228">
        <v>126</v>
      </c>
      <c r="P80" s="228">
        <v>130.41</v>
      </c>
      <c r="Q80" s="228">
        <v>133.01820000000001</v>
      </c>
      <c r="R80" s="228"/>
    </row>
    <row r="81" spans="1:18" x14ac:dyDescent="0.25">
      <c r="A81" s="50"/>
      <c r="B81" s="61"/>
      <c r="C81" s="116"/>
      <c r="D81" s="55"/>
      <c r="E81" s="91" t="s">
        <v>235</v>
      </c>
      <c r="F81" s="91"/>
      <c r="G81" s="91" t="s">
        <v>188</v>
      </c>
      <c r="I81" s="6" t="s">
        <v>427</v>
      </c>
      <c r="J81" s="228">
        <f t="shared" si="11"/>
        <v>105.1</v>
      </c>
      <c r="K81" s="228">
        <f t="shared" si="11"/>
        <v>107</v>
      </c>
      <c r="L81" s="228">
        <v>108.6</v>
      </c>
      <c r="M81" s="228">
        <v>109.7</v>
      </c>
      <c r="N81" s="228">
        <v>116.5</v>
      </c>
      <c r="O81" s="228">
        <v>126.8</v>
      </c>
      <c r="P81" s="228">
        <v>130.60400000000001</v>
      </c>
      <c r="Q81" s="228">
        <v>133.21608000000001</v>
      </c>
      <c r="R81" s="228"/>
    </row>
    <row r="82" spans="1:18" x14ac:dyDescent="0.25">
      <c r="A82" s="50"/>
      <c r="B82" s="61"/>
      <c r="C82" s="116"/>
      <c r="D82" s="55"/>
      <c r="E82" s="91"/>
      <c r="F82" s="91"/>
      <c r="G82" s="91"/>
      <c r="I82" s="171"/>
    </row>
    <row r="83" spans="1:18" s="30" customFormat="1" x14ac:dyDescent="0.25">
      <c r="A83" s="50"/>
      <c r="B83" s="61"/>
      <c r="C83" s="116"/>
      <c r="D83" s="55"/>
      <c r="E83" s="91" t="s">
        <v>271</v>
      </c>
      <c r="F83" s="91"/>
      <c r="G83" s="91" t="s">
        <v>188</v>
      </c>
      <c r="I83" s="171"/>
      <c r="K83" s="254"/>
      <c r="L83" s="254"/>
      <c r="M83" s="254">
        <v>4</v>
      </c>
      <c r="N83" s="254">
        <v>3</v>
      </c>
      <c r="O83" s="254">
        <v>2</v>
      </c>
      <c r="P83" s="254">
        <v>1</v>
      </c>
      <c r="Q83" s="254">
        <v>0</v>
      </c>
      <c r="R83" s="254"/>
    </row>
    <row r="84" spans="1:18" x14ac:dyDescent="0.25">
      <c r="A84" s="50"/>
      <c r="B84" s="61"/>
      <c r="C84" s="116"/>
      <c r="D84" s="55"/>
      <c r="I84" s="6"/>
    </row>
    <row r="85" spans="1:18" x14ac:dyDescent="0.25">
      <c r="A85" s="285" t="s">
        <v>380</v>
      </c>
      <c r="B85" s="286"/>
      <c r="C85" s="287"/>
      <c r="D85" s="287"/>
      <c r="E85" s="287"/>
      <c r="F85" s="287"/>
      <c r="G85" s="287"/>
      <c r="H85" s="287"/>
      <c r="I85" s="287"/>
      <c r="J85" s="287"/>
      <c r="K85" s="287"/>
      <c r="L85" s="287"/>
      <c r="M85" s="287"/>
      <c r="N85" s="287"/>
      <c r="O85" s="287"/>
      <c r="P85" s="287"/>
      <c r="Q85" s="287"/>
      <c r="R85" s="287"/>
    </row>
    <row r="86" spans="1:18" x14ac:dyDescent="0.25">
      <c r="A86" s="50"/>
      <c r="B86" s="61" t="s">
        <v>344</v>
      </c>
      <c r="C86" s="283"/>
      <c r="D86" s="55"/>
      <c r="I86" s="6"/>
    </row>
    <row r="87" spans="1:18" x14ac:dyDescent="0.25">
      <c r="A87" s="50"/>
      <c r="B87" s="61"/>
      <c r="C87" s="283"/>
      <c r="D87" s="55"/>
      <c r="E87" s="7" t="s">
        <v>325</v>
      </c>
      <c r="F87" s="292">
        <v>101.67373439267088</v>
      </c>
      <c r="G87" s="7" t="s">
        <v>88</v>
      </c>
      <c r="I87" s="6" t="s">
        <v>407</v>
      </c>
    </row>
    <row r="88" spans="1:18" x14ac:dyDescent="0.25">
      <c r="A88" s="50"/>
      <c r="B88" s="61"/>
      <c r="C88" s="283"/>
      <c r="D88" s="55"/>
      <c r="E88" s="7" t="s">
        <v>340</v>
      </c>
      <c r="F88" s="292">
        <v>860.35727519019451</v>
      </c>
      <c r="G88" s="7" t="s">
        <v>88</v>
      </c>
      <c r="I88" s="6" t="s">
        <v>408</v>
      </c>
    </row>
    <row r="89" spans="1:18" x14ac:dyDescent="0.25">
      <c r="A89" s="50"/>
      <c r="B89" s="61"/>
      <c r="C89" s="283"/>
      <c r="D89" s="55"/>
      <c r="E89" s="7" t="s">
        <v>341</v>
      </c>
      <c r="F89" s="292">
        <v>1874.7307090641443</v>
      </c>
      <c r="G89" s="7" t="s">
        <v>88</v>
      </c>
      <c r="I89" s="6" t="s">
        <v>409</v>
      </c>
    </row>
    <row r="90" spans="1:18" x14ac:dyDescent="0.25">
      <c r="A90" s="50"/>
      <c r="B90" s="61"/>
      <c r="C90" s="283"/>
      <c r="D90" s="55"/>
      <c r="E90" s="7" t="s">
        <v>342</v>
      </c>
      <c r="F90" s="292">
        <v>114.56413067011066</v>
      </c>
      <c r="G90" s="7" t="s">
        <v>88</v>
      </c>
      <c r="I90" s="6" t="s">
        <v>410</v>
      </c>
    </row>
    <row r="91" spans="1:18" x14ac:dyDescent="0.25">
      <c r="A91" s="50"/>
      <c r="B91" s="61"/>
      <c r="C91" s="283"/>
      <c r="D91" s="55"/>
      <c r="E91" s="7" t="s">
        <v>343</v>
      </c>
      <c r="F91" s="292"/>
      <c r="G91" s="7" t="s">
        <v>88</v>
      </c>
      <c r="I91" s="6" t="s">
        <v>411</v>
      </c>
    </row>
    <row r="92" spans="1:18" x14ac:dyDescent="0.25">
      <c r="A92" s="50"/>
      <c r="B92" s="61"/>
      <c r="C92" s="116"/>
      <c r="D92" s="55"/>
      <c r="I92" s="6"/>
      <c r="M92" s="207"/>
      <c r="N92" s="207"/>
      <c r="O92" s="207"/>
      <c r="P92" s="207"/>
      <c r="Q92" s="207"/>
      <c r="R92" s="207"/>
    </row>
    <row r="93" spans="1:18" x14ac:dyDescent="0.25">
      <c r="A93" s="50"/>
      <c r="B93" s="61" t="s">
        <v>345</v>
      </c>
      <c r="C93" s="116"/>
      <c r="D93" s="55"/>
      <c r="I93" s="6"/>
    </row>
    <row r="94" spans="1:18" x14ac:dyDescent="0.25">
      <c r="A94" s="50"/>
      <c r="B94" s="61"/>
      <c r="C94" s="116"/>
      <c r="D94" s="55"/>
      <c r="E94" s="7" t="s">
        <v>326</v>
      </c>
      <c r="G94" s="7" t="s">
        <v>94</v>
      </c>
      <c r="I94" s="6" t="s">
        <v>412</v>
      </c>
      <c r="M94" s="240">
        <v>4.0680214846322976E-2</v>
      </c>
      <c r="N94" s="240">
        <v>4.0680214846322976E-2</v>
      </c>
      <c r="O94" s="240">
        <v>4.0680214846322976E-2</v>
      </c>
      <c r="P94" s="240">
        <v>4.0680214846322976E-2</v>
      </c>
      <c r="Q94" s="240">
        <v>4.0680214846322976E-2</v>
      </c>
      <c r="R94" s="240"/>
    </row>
    <row r="95" spans="1:18" x14ac:dyDescent="0.25">
      <c r="A95" s="50"/>
      <c r="B95" s="61"/>
      <c r="C95" s="116"/>
      <c r="D95" s="55"/>
      <c r="E95" s="7" t="s">
        <v>324</v>
      </c>
      <c r="G95" s="7" t="s">
        <v>94</v>
      </c>
      <c r="I95" s="6" t="s">
        <v>413</v>
      </c>
      <c r="M95" s="240">
        <v>4.7380214846322981E-2</v>
      </c>
      <c r="N95" s="240">
        <v>4.7380214846322981E-2</v>
      </c>
      <c r="O95" s="240">
        <v>4.7380214846322981E-2</v>
      </c>
      <c r="P95" s="240">
        <v>4.7380214846322981E-2</v>
      </c>
      <c r="Q95" s="240">
        <v>4.7380214846322981E-2</v>
      </c>
      <c r="R95" s="240"/>
    </row>
    <row r="96" spans="1:18" x14ac:dyDescent="0.25">
      <c r="A96" s="50"/>
      <c r="B96" s="61"/>
      <c r="C96" s="116"/>
      <c r="D96" s="55"/>
      <c r="E96" s="7" t="s">
        <v>327</v>
      </c>
      <c r="G96" s="7" t="s">
        <v>94</v>
      </c>
      <c r="I96" s="6" t="s">
        <v>414</v>
      </c>
      <c r="M96" s="240">
        <v>3.6780214846322976E-2</v>
      </c>
      <c r="N96" s="240">
        <v>3.6780214846322976E-2</v>
      </c>
      <c r="O96" s="240">
        <v>3.6780214846322976E-2</v>
      </c>
      <c r="P96" s="240">
        <v>3.6780214846322976E-2</v>
      </c>
      <c r="Q96" s="240">
        <v>3.6780214846322976E-2</v>
      </c>
      <c r="R96" s="240"/>
    </row>
    <row r="97" spans="1:26" x14ac:dyDescent="0.25">
      <c r="A97" s="50"/>
      <c r="B97" s="61"/>
      <c r="C97" s="116"/>
      <c r="D97" s="55"/>
      <c r="E97" s="7" t="s">
        <v>328</v>
      </c>
      <c r="G97" s="7" t="s">
        <v>94</v>
      </c>
      <c r="I97" s="6" t="s">
        <v>415</v>
      </c>
      <c r="M97" s="240">
        <v>6.5880214846322976E-2</v>
      </c>
      <c r="N97" s="240">
        <v>6.5880214846322976E-2</v>
      </c>
      <c r="O97" s="240">
        <v>6.5880214846322976E-2</v>
      </c>
      <c r="P97" s="240">
        <v>6.5880214846322976E-2</v>
      </c>
      <c r="Q97" s="240">
        <v>6.5880214846322976E-2</v>
      </c>
      <c r="R97" s="240"/>
    </row>
    <row r="98" spans="1:26" x14ac:dyDescent="0.25">
      <c r="A98" s="50"/>
      <c r="B98" s="61"/>
      <c r="C98" s="116"/>
      <c r="D98" s="55"/>
      <c r="E98" s="7" t="s">
        <v>329</v>
      </c>
      <c r="G98" s="7" t="s">
        <v>94</v>
      </c>
      <c r="I98" s="6" t="s">
        <v>416</v>
      </c>
      <c r="M98" s="240"/>
      <c r="N98" s="240"/>
      <c r="O98" s="240"/>
      <c r="P98" s="240"/>
      <c r="Q98" s="240"/>
      <c r="R98" s="240"/>
    </row>
    <row r="99" spans="1:26" x14ac:dyDescent="0.25">
      <c r="A99" s="50"/>
      <c r="B99" s="61"/>
      <c r="C99" s="116"/>
      <c r="D99" s="55"/>
      <c r="I99" s="6"/>
      <c r="M99" s="207"/>
      <c r="N99" s="207"/>
      <c r="O99" s="207"/>
      <c r="P99" s="207"/>
      <c r="Q99" s="207"/>
      <c r="R99" s="207"/>
    </row>
    <row r="100" spans="1:26" x14ac:dyDescent="0.25">
      <c r="A100" s="50"/>
      <c r="B100" s="61" t="s">
        <v>346</v>
      </c>
      <c r="C100" s="283"/>
      <c r="D100" s="55"/>
      <c r="I100" s="6"/>
      <c r="M100" s="207"/>
      <c r="N100" s="207"/>
      <c r="O100" s="207"/>
      <c r="P100" s="207"/>
      <c r="Q100" s="207"/>
      <c r="R100" s="207"/>
    </row>
    <row r="101" spans="1:26" x14ac:dyDescent="0.25">
      <c r="A101" s="50"/>
      <c r="B101" s="61"/>
      <c r="C101" s="283"/>
      <c r="D101" s="55"/>
      <c r="E101" s="7" t="s">
        <v>331</v>
      </c>
      <c r="G101" s="7" t="s">
        <v>94</v>
      </c>
      <c r="I101" s="6" t="s">
        <v>417</v>
      </c>
      <c r="M101" s="240">
        <v>1.920357193840716E-2</v>
      </c>
      <c r="N101" s="240">
        <v>1.920357193840716E-2</v>
      </c>
      <c r="O101" s="240">
        <v>1.920357193840716E-2</v>
      </c>
      <c r="P101" s="240">
        <v>1.920357193840716E-2</v>
      </c>
      <c r="Q101" s="240">
        <v>1.920357193840716E-2</v>
      </c>
      <c r="R101" s="240"/>
      <c r="T101" s="7">
        <v>2.9195763820156317E-2</v>
      </c>
      <c r="U101" s="7">
        <v>2.9195763820156317E-2</v>
      </c>
      <c r="V101" s="7">
        <v>2.9195763820156317E-2</v>
      </c>
      <c r="W101" s="7">
        <v>2.9195763820156317E-2</v>
      </c>
      <c r="X101" s="7">
        <v>2.9195763820156317E-2</v>
      </c>
      <c r="Y101" s="7">
        <v>2.9195763820156317E-2</v>
      </c>
      <c r="Z101" s="7">
        <v>2.9195763820156317E-2</v>
      </c>
    </row>
    <row r="102" spans="1:26" x14ac:dyDescent="0.25">
      <c r="A102" s="50"/>
      <c r="B102" s="61"/>
      <c r="C102" s="283"/>
      <c r="D102" s="55"/>
      <c r="E102" s="7" t="s">
        <v>333</v>
      </c>
      <c r="G102" s="7" t="s">
        <v>94</v>
      </c>
      <c r="I102" s="6" t="s">
        <v>418</v>
      </c>
      <c r="M102" s="240">
        <v>1.920357193840716E-2</v>
      </c>
      <c r="N102" s="240">
        <v>1.920357193840716E-2</v>
      </c>
      <c r="O102" s="240">
        <v>1.920357193840716E-2</v>
      </c>
      <c r="P102" s="240">
        <v>1.920357193840716E-2</v>
      </c>
      <c r="Q102" s="240">
        <v>1.920357193840716E-2</v>
      </c>
      <c r="R102" s="240"/>
    </row>
    <row r="103" spans="1:26" x14ac:dyDescent="0.25">
      <c r="A103" s="50"/>
      <c r="B103" s="61"/>
      <c r="C103" s="283"/>
      <c r="D103" s="55"/>
      <c r="E103" s="7" t="s">
        <v>335</v>
      </c>
      <c r="G103" s="7" t="s">
        <v>94</v>
      </c>
      <c r="I103" s="6" t="s">
        <v>419</v>
      </c>
      <c r="M103" s="240">
        <v>1.920357193840716E-2</v>
      </c>
      <c r="N103" s="240">
        <v>1.920357193840716E-2</v>
      </c>
      <c r="O103" s="240">
        <v>1.920357193840716E-2</v>
      </c>
      <c r="P103" s="240">
        <v>1.920357193840716E-2</v>
      </c>
      <c r="Q103" s="240">
        <v>1.920357193840716E-2</v>
      </c>
      <c r="R103" s="240"/>
    </row>
    <row r="104" spans="1:26" x14ac:dyDescent="0.25">
      <c r="A104" s="50"/>
      <c r="B104" s="61"/>
      <c r="C104" s="283"/>
      <c r="D104" s="55"/>
      <c r="E104" s="7" t="s">
        <v>337</v>
      </c>
      <c r="G104" s="7" t="s">
        <v>94</v>
      </c>
      <c r="I104" s="6" t="s">
        <v>420</v>
      </c>
      <c r="M104" s="240">
        <v>1.920357193840716E-2</v>
      </c>
      <c r="N104" s="240">
        <v>1.920357193840716E-2</v>
      </c>
      <c r="O104" s="240">
        <v>1.920357193840716E-2</v>
      </c>
      <c r="P104" s="240">
        <v>1.920357193840716E-2</v>
      </c>
      <c r="Q104" s="240">
        <v>1.920357193840716E-2</v>
      </c>
      <c r="R104" s="240"/>
    </row>
    <row r="105" spans="1:26" x14ac:dyDescent="0.25">
      <c r="A105" s="50"/>
      <c r="B105" s="61"/>
      <c r="C105" s="283"/>
      <c r="D105" s="55"/>
      <c r="E105" s="7" t="s">
        <v>339</v>
      </c>
      <c r="G105" s="7" t="s">
        <v>94</v>
      </c>
      <c r="I105" s="6" t="s">
        <v>421</v>
      </c>
      <c r="M105" s="240"/>
      <c r="N105" s="240"/>
      <c r="O105" s="240"/>
      <c r="P105" s="240"/>
      <c r="Q105" s="240"/>
      <c r="R105" s="240"/>
    </row>
    <row r="106" spans="1:26" x14ac:dyDescent="0.25">
      <c r="A106" s="50"/>
      <c r="B106" s="61"/>
      <c r="C106" s="116"/>
      <c r="D106" s="55"/>
      <c r="I106" s="6"/>
      <c r="M106" s="207"/>
      <c r="N106" s="207"/>
      <c r="O106" s="207"/>
      <c r="P106" s="207"/>
      <c r="Q106" s="207"/>
      <c r="R106" s="207"/>
    </row>
    <row r="107" spans="1:26" x14ac:dyDescent="0.25">
      <c r="A107" s="50"/>
      <c r="B107" s="61" t="s">
        <v>347</v>
      </c>
      <c r="C107" s="116"/>
      <c r="D107" s="55"/>
      <c r="I107" s="6"/>
      <c r="M107" s="207"/>
      <c r="N107" s="207"/>
      <c r="O107" s="207"/>
      <c r="P107" s="207"/>
      <c r="Q107" s="207"/>
      <c r="R107" s="207"/>
    </row>
    <row r="108" spans="1:26" x14ac:dyDescent="0.25">
      <c r="A108" s="50"/>
      <c r="B108" s="61"/>
      <c r="C108" s="116"/>
      <c r="D108" s="55"/>
      <c r="E108" s="7" t="s">
        <v>330</v>
      </c>
      <c r="G108" s="7" t="s">
        <v>94</v>
      </c>
      <c r="I108" s="6" t="s">
        <v>422</v>
      </c>
      <c r="M108" s="240">
        <v>2.9195763820156317E-2</v>
      </c>
      <c r="N108" s="240">
        <v>2.9195763820156317E-2</v>
      </c>
      <c r="O108" s="240">
        <v>2.9195763820156317E-2</v>
      </c>
      <c r="P108" s="240">
        <v>2.9195763820156317E-2</v>
      </c>
      <c r="Q108" s="240">
        <v>2.9195763820156317E-2</v>
      </c>
      <c r="R108" s="240"/>
      <c r="T108" s="7">
        <v>2.9195763820156317E-2</v>
      </c>
      <c r="U108" s="7">
        <v>2.9195763820156317E-2</v>
      </c>
      <c r="V108" s="7">
        <v>2.9195763820156317E-2</v>
      </c>
      <c r="W108" s="7">
        <v>2.9195763820156317E-2</v>
      </c>
      <c r="X108" s="7">
        <v>2.9195763820156317E-2</v>
      </c>
      <c r="Y108" s="7">
        <v>2.9195763820156317E-2</v>
      </c>
      <c r="Z108" s="7">
        <v>2.9195763820156317E-2</v>
      </c>
    </row>
    <row r="109" spans="1:26" x14ac:dyDescent="0.25">
      <c r="A109" s="50"/>
      <c r="B109" s="61"/>
      <c r="C109" s="116"/>
      <c r="D109" s="55"/>
      <c r="E109" s="7" t="s">
        <v>332</v>
      </c>
      <c r="G109" s="7" t="s">
        <v>94</v>
      </c>
      <c r="I109" s="6" t="s">
        <v>423</v>
      </c>
      <c r="M109" s="240">
        <v>2.9195763820156317E-2</v>
      </c>
      <c r="N109" s="240">
        <v>2.9195763820156317E-2</v>
      </c>
      <c r="O109" s="240">
        <v>2.9195763820156317E-2</v>
      </c>
      <c r="P109" s="240">
        <v>2.9195763820156317E-2</v>
      </c>
      <c r="Q109" s="240">
        <v>2.9195763820156317E-2</v>
      </c>
      <c r="R109" s="240"/>
    </row>
    <row r="110" spans="1:26" x14ac:dyDescent="0.25">
      <c r="A110" s="50"/>
      <c r="B110" s="61"/>
      <c r="C110" s="116"/>
      <c r="D110" s="55"/>
      <c r="E110" s="7" t="s">
        <v>334</v>
      </c>
      <c r="G110" s="7" t="s">
        <v>94</v>
      </c>
      <c r="I110" s="6" t="s">
        <v>424</v>
      </c>
      <c r="M110" s="240">
        <v>2.9195763820156317E-2</v>
      </c>
      <c r="N110" s="240">
        <v>2.9195763820156317E-2</v>
      </c>
      <c r="O110" s="240">
        <v>2.9195763820156317E-2</v>
      </c>
      <c r="P110" s="240">
        <v>2.9195763820156317E-2</v>
      </c>
      <c r="Q110" s="240">
        <v>2.9195763820156317E-2</v>
      </c>
      <c r="R110" s="240"/>
    </row>
    <row r="111" spans="1:26" x14ac:dyDescent="0.25">
      <c r="A111" s="50"/>
      <c r="B111" s="61"/>
      <c r="C111" s="116"/>
      <c r="D111" s="55"/>
      <c r="E111" s="7" t="s">
        <v>336</v>
      </c>
      <c r="G111" s="7" t="s">
        <v>94</v>
      </c>
      <c r="I111" s="6" t="s">
        <v>425</v>
      </c>
      <c r="M111" s="240">
        <v>2.9195763820156317E-2</v>
      </c>
      <c r="N111" s="240">
        <v>2.9195763820156317E-2</v>
      </c>
      <c r="O111" s="240">
        <v>2.9195763820156317E-2</v>
      </c>
      <c r="P111" s="240">
        <v>2.9195763820156317E-2</v>
      </c>
      <c r="Q111" s="240">
        <v>2.9195763820156317E-2</v>
      </c>
      <c r="R111" s="240"/>
    </row>
    <row r="112" spans="1:26" x14ac:dyDescent="0.25">
      <c r="A112" s="50"/>
      <c r="B112" s="61"/>
      <c r="C112" s="116"/>
      <c r="D112" s="55"/>
      <c r="E112" s="7" t="s">
        <v>338</v>
      </c>
      <c r="G112" s="7" t="s">
        <v>94</v>
      </c>
      <c r="I112" s="6" t="s">
        <v>426</v>
      </c>
      <c r="M112" s="240"/>
      <c r="N112" s="240"/>
      <c r="O112" s="240"/>
      <c r="P112" s="240"/>
      <c r="Q112" s="240"/>
      <c r="R112" s="240"/>
    </row>
    <row r="113" spans="1:27" x14ac:dyDescent="0.25">
      <c r="A113" s="50"/>
      <c r="B113" s="61"/>
      <c r="C113" s="116"/>
      <c r="D113" s="55"/>
    </row>
    <row r="114" spans="1:27" x14ac:dyDescent="0.25">
      <c r="A114" s="285" t="s">
        <v>89</v>
      </c>
      <c r="B114" s="286"/>
      <c r="C114" s="287"/>
      <c r="D114" s="287"/>
      <c r="E114" s="287"/>
      <c r="F114" s="287"/>
      <c r="G114" s="287"/>
      <c r="H114" s="287"/>
      <c r="I114" s="287"/>
      <c r="J114" s="287"/>
      <c r="K114" s="287"/>
      <c r="L114" s="287"/>
      <c r="M114" s="287"/>
      <c r="N114" s="287"/>
      <c r="O114" s="287"/>
      <c r="P114" s="287"/>
      <c r="Q114" s="287"/>
      <c r="R114" s="287"/>
    </row>
    <row r="115" spans="1:27" x14ac:dyDescent="0.25">
      <c r="A115" s="50"/>
      <c r="B115" s="61"/>
      <c r="C115" s="116"/>
      <c r="D115" s="55"/>
    </row>
    <row r="116" spans="1:27" x14ac:dyDescent="0.25">
      <c r="A116" s="50"/>
      <c r="B116" s="61" t="s">
        <v>90</v>
      </c>
      <c r="C116" s="116"/>
      <c r="D116" s="55"/>
    </row>
    <row r="117" spans="1:27" x14ac:dyDescent="0.25">
      <c r="A117" s="50"/>
      <c r="B117" s="61"/>
      <c r="C117" s="116"/>
      <c r="D117" s="55"/>
      <c r="E117" s="7" t="s">
        <v>91</v>
      </c>
      <c r="F117" s="100">
        <v>1E-3</v>
      </c>
      <c r="G117" s="7" t="s">
        <v>92</v>
      </c>
    </row>
    <row r="118" spans="1:27" x14ac:dyDescent="0.25">
      <c r="A118" s="50"/>
      <c r="B118" s="61"/>
      <c r="C118" s="116"/>
      <c r="D118" s="55"/>
      <c r="E118" s="7" t="s">
        <v>172</v>
      </c>
      <c r="F118" s="100">
        <v>1E-3</v>
      </c>
      <c r="G118" s="7" t="s">
        <v>92</v>
      </c>
    </row>
    <row r="119" spans="1:27" x14ac:dyDescent="0.25">
      <c r="A119" s="50"/>
      <c r="B119" s="61"/>
      <c r="C119" s="116"/>
      <c r="D119" s="55"/>
    </row>
    <row r="120" spans="1:27" x14ac:dyDescent="0.25">
      <c r="A120" s="50"/>
      <c r="B120" s="61"/>
      <c r="C120" s="116"/>
      <c r="D120" s="55"/>
    </row>
    <row r="121" spans="1:27" s="161" customFormat="1" x14ac:dyDescent="0.25">
      <c r="A121" s="157" t="s">
        <v>62</v>
      </c>
      <c r="B121" s="158"/>
      <c r="C121" s="159"/>
      <c r="D121" s="160"/>
    </row>
    <row r="122" spans="1:27" ht="12.6" customHeight="1" x14ac:dyDescent="0.25">
      <c r="B122" s="61"/>
      <c r="C122" s="116"/>
      <c r="D122" s="55"/>
    </row>
    <row r="123" spans="1:27" hidden="1" x14ac:dyDescent="0.25">
      <c r="A123" s="50"/>
      <c r="B123" s="188"/>
      <c r="C123" s="189"/>
      <c r="D123" s="190"/>
    </row>
    <row r="124" spans="1:27" hidden="1" x14ac:dyDescent="0.25">
      <c r="B124" s="61"/>
      <c r="C124" s="116"/>
      <c r="D124" s="55"/>
    </row>
    <row r="125" spans="1:27" hidden="1" x14ac:dyDescent="0.25">
      <c r="A125" s="50"/>
      <c r="B125" s="188"/>
      <c r="C125" s="189"/>
      <c r="D125" s="190"/>
    </row>
    <row r="126" spans="1:27" hidden="1" x14ac:dyDescent="0.25">
      <c r="B126" s="61"/>
      <c r="C126" s="116"/>
      <c r="D126" s="55"/>
      <c r="M126" s="206"/>
      <c r="N126" s="206"/>
      <c r="O126" s="206"/>
      <c r="P126" s="206"/>
      <c r="Q126" s="206"/>
    </row>
    <row r="127" spans="1:27" s="172" customFormat="1" hidden="1" x14ac:dyDescent="0.25">
      <c r="A127" s="173"/>
      <c r="B127" s="174"/>
      <c r="C127" s="175"/>
      <c r="D127" s="176"/>
      <c r="T127" s="177"/>
      <c r="U127" s="177"/>
      <c r="V127" s="177"/>
      <c r="W127" s="177"/>
      <c r="X127" s="177"/>
      <c r="Y127" s="177"/>
      <c r="Z127" s="177"/>
      <c r="AA127" s="177"/>
    </row>
    <row r="128" spans="1:27" hidden="1" x14ac:dyDescent="0.25">
      <c r="B128" s="61"/>
      <c r="C128" s="116"/>
      <c r="D128" s="55"/>
    </row>
    <row r="129" spans="2:4" hidden="1" x14ac:dyDescent="0.25">
      <c r="B129" s="61"/>
      <c r="C129" s="116"/>
      <c r="D129" s="55"/>
    </row>
    <row r="130" spans="2:4" hidden="1" x14ac:dyDescent="0.25">
      <c r="B130" s="61"/>
      <c r="C130" s="116"/>
      <c r="D130" s="55"/>
    </row>
    <row r="131" spans="2:4" hidden="1" x14ac:dyDescent="0.25">
      <c r="B131" s="61"/>
      <c r="C131" s="116"/>
      <c r="D131" s="55"/>
    </row>
    <row r="132" spans="2:4" hidden="1" x14ac:dyDescent="0.25">
      <c r="B132" s="61"/>
      <c r="C132" s="116"/>
      <c r="D132" s="55"/>
    </row>
    <row r="133" spans="2:4" hidden="1" x14ac:dyDescent="0.25">
      <c r="B133" s="61"/>
      <c r="C133" s="116"/>
      <c r="D133" s="55"/>
    </row>
    <row r="134" spans="2:4" hidden="1" x14ac:dyDescent="0.25">
      <c r="B134" s="61"/>
      <c r="C134" s="116"/>
      <c r="D134" s="55"/>
    </row>
    <row r="135" spans="2:4" hidden="1" x14ac:dyDescent="0.25">
      <c r="B135" s="61"/>
      <c r="C135" s="116"/>
      <c r="D135" s="55"/>
    </row>
    <row r="136" spans="2:4" hidden="1" x14ac:dyDescent="0.25">
      <c r="B136" s="61"/>
      <c r="C136" s="116"/>
      <c r="D136" s="55"/>
    </row>
    <row r="137" spans="2:4" hidden="1" x14ac:dyDescent="0.25">
      <c r="B137" s="61"/>
      <c r="C137" s="116"/>
      <c r="D137" s="55"/>
    </row>
    <row r="138" spans="2:4" hidden="1" x14ac:dyDescent="0.25">
      <c r="B138" s="61"/>
      <c r="C138" s="116"/>
      <c r="D138" s="55"/>
    </row>
    <row r="139" spans="2:4" hidden="1" x14ac:dyDescent="0.25">
      <c r="B139" s="61"/>
      <c r="C139" s="116"/>
      <c r="D139" s="55"/>
    </row>
    <row r="140" spans="2:4" hidden="1" x14ac:dyDescent="0.25">
      <c r="B140" s="61"/>
      <c r="C140" s="116"/>
      <c r="D140" s="55"/>
    </row>
    <row r="141" spans="2:4" hidden="1" x14ac:dyDescent="0.25">
      <c r="B141" s="61"/>
      <c r="C141" s="116"/>
      <c r="D141" s="55"/>
    </row>
    <row r="142" spans="2:4" hidden="1" x14ac:dyDescent="0.25">
      <c r="B142" s="61"/>
      <c r="C142" s="116"/>
      <c r="D142" s="55"/>
    </row>
    <row r="143" spans="2:4" hidden="1" x14ac:dyDescent="0.25">
      <c r="B143" s="61"/>
      <c r="C143" s="116"/>
      <c r="D143" s="55"/>
    </row>
    <row r="144" spans="2:4"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c r="E213" s="102"/>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sheetData>
  <phoneticPr fontId="48"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8" width="11.5546875" style="7" customWidth="1"/>
    <col min="9" max="9" width="2.5546875" style="7" customWidth="1"/>
    <col min="10" max="18" width="11.5546875" style="7" customWidth="1"/>
    <col min="19" max="78" width="11.5546875" style="7" hidden="1" customWidth="1"/>
    <col min="79" max="106" width="0" style="7" hidden="1" customWidth="1"/>
    <col min="107" max="16384" width="9.109375" style="7" hidden="1"/>
  </cols>
  <sheetData>
    <row r="1" spans="1:78" s="122" customFormat="1" ht="25.2" x14ac:dyDescent="0.4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95</v>
      </c>
      <c r="D8" s="57"/>
      <c r="E8" s="92"/>
    </row>
    <row r="9" spans="1:78" x14ac:dyDescent="0.25">
      <c r="A9" s="49"/>
      <c r="D9" s="57"/>
      <c r="E9" s="92"/>
    </row>
    <row r="10" spans="1:78" s="65" customFormat="1" x14ac:dyDescent="0.25">
      <c r="A10" s="48"/>
      <c r="B10" s="59" t="s">
        <v>96</v>
      </c>
      <c r="C10" s="108"/>
      <c r="D10" s="53"/>
      <c r="E10" s="93"/>
      <c r="G10" s="37"/>
    </row>
    <row r="11" spans="1:78" s="42" customFormat="1" x14ac:dyDescent="0.25">
      <c r="A11" s="66"/>
      <c r="B11" s="67"/>
      <c r="C11" s="125"/>
      <c r="D11" s="68"/>
      <c r="E11" s="91" t="s">
        <v>97</v>
      </c>
      <c r="G11" s="42" t="s">
        <v>98</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99</v>
      </c>
      <c r="F12" s="7">
        <f xml:space="preserve"> MAX(J11:BZ11)</f>
        <v>9</v>
      </c>
      <c r="G12" s="7" t="s">
        <v>100</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101</v>
      </c>
      <c r="G15" s="7" t="s">
        <v>102</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103</v>
      </c>
      <c r="F18" s="25">
        <f xml:space="preserve"> DATE(YEAR(F17), MONTH(F17), 1)</f>
        <v>42826</v>
      </c>
      <c r="G18" s="25" t="s">
        <v>104</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105</v>
      </c>
      <c r="G22" s="17" t="s">
        <v>76</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106</v>
      </c>
      <c r="F23" s="34"/>
      <c r="G23" s="39" t="s">
        <v>76</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107</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108</v>
      </c>
      <c r="G27" s="38" t="s">
        <v>109</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110</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111</v>
      </c>
      <c r="G34" s="7" t="s">
        <v>102</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112</v>
      </c>
      <c r="G35" s="7" t="s">
        <v>102</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113</v>
      </c>
      <c r="F36" s="21">
        <f xml:space="preserve"> SUM(J35:BZ35)</f>
        <v>3</v>
      </c>
      <c r="G36" s="7" t="s">
        <v>114</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115</v>
      </c>
      <c r="G40" s="2" t="s">
        <v>102</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116</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117</v>
      </c>
      <c r="G46" s="7" t="s">
        <v>102</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118</v>
      </c>
      <c r="G50" s="7" t="s">
        <v>102</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119</v>
      </c>
      <c r="G54" s="34" t="s">
        <v>102</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120</v>
      </c>
      <c r="F55" s="7">
        <f xml:space="preserve"> SUM(J54:BZ54)</f>
        <v>5</v>
      </c>
      <c r="G55" s="7" t="s">
        <v>114</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121</v>
      </c>
      <c r="G59" s="7" t="s">
        <v>102</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122</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123</v>
      </c>
      <c r="G65" s="7" t="s">
        <v>102</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124</v>
      </c>
      <c r="G68" s="7" t="s">
        <v>102</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125</v>
      </c>
      <c r="F69" s="7">
        <f xml:space="preserve"> SUM(J68:BZ68)</f>
        <v>1</v>
      </c>
      <c r="G69" s="7" t="s">
        <v>114</v>
      </c>
    </row>
    <row r="72" spans="1:18" x14ac:dyDescent="0.25">
      <c r="A72" s="49" t="s">
        <v>126</v>
      </c>
      <c r="D72" s="57"/>
      <c r="E72" s="92"/>
    </row>
    <row r="74" spans="1:18" x14ac:dyDescent="0.25">
      <c r="E74" s="91" t="str">
        <f xml:space="preserve"> E$12</f>
        <v>Model Column Total</v>
      </c>
      <c r="F74" s="7">
        <f xml:space="preserve"> F$12</f>
        <v>9</v>
      </c>
      <c r="G74" s="7" t="str">
        <f xml:space="preserve"> G$12</f>
        <v>column</v>
      </c>
    </row>
    <row r="75" spans="1:18" x14ac:dyDescent="0.25">
      <c r="D75" s="55" t="s">
        <v>107</v>
      </c>
      <c r="E75" s="91" t="str">
        <f xml:space="preserve"> E$36</f>
        <v>Pre Forecast Period Total</v>
      </c>
      <c r="F75" s="7">
        <f xml:space="preserve"> F$36</f>
        <v>3</v>
      </c>
      <c r="G75" s="7" t="str">
        <f xml:space="preserve"> G$36</f>
        <v>columns</v>
      </c>
    </row>
    <row r="76" spans="1:18" x14ac:dyDescent="0.25">
      <c r="D76" s="55" t="s">
        <v>107</v>
      </c>
      <c r="E76" s="91" t="str">
        <f xml:space="preserve"> E$55</f>
        <v xml:space="preserve">Forecast Period Total </v>
      </c>
      <c r="F76" s="7">
        <f xml:space="preserve"> F$55</f>
        <v>5</v>
      </c>
      <c r="G76" s="7" t="str">
        <f xml:space="preserve"> G$55</f>
        <v>columns</v>
      </c>
    </row>
    <row r="77" spans="1:18" x14ac:dyDescent="0.25">
      <c r="D77" s="55" t="s">
        <v>107</v>
      </c>
      <c r="E77" s="91" t="str">
        <f xml:space="preserve"> E$69</f>
        <v>Post Forecast Period Total</v>
      </c>
      <c r="F77" s="7">
        <f xml:space="preserve"> F$69</f>
        <v>1</v>
      </c>
      <c r="G77" s="7" t="str">
        <f xml:space="preserve"> G$69</f>
        <v>columns</v>
      </c>
    </row>
    <row r="78" spans="1:18" x14ac:dyDescent="0.25">
      <c r="A78" s="49"/>
      <c r="D78" s="57"/>
      <c r="E78" s="92" t="s">
        <v>127</v>
      </c>
      <c r="F78" s="33">
        <f xml:space="preserve"> IF(F74 - SUM(F75:F77) &lt;&gt; 0, 1, 0)</f>
        <v>0</v>
      </c>
      <c r="G78" s="7" t="s">
        <v>128</v>
      </c>
    </row>
    <row r="80" spans="1:18" x14ac:dyDescent="0.25">
      <c r="A80" s="133" t="s">
        <v>129</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4">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130</v>
      </c>
      <c r="G86" s="7" t="s">
        <v>131</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25">
      <c r="A89" s="10" t="s">
        <v>62</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44140625" style="50" customWidth="1"/>
    <col min="2" max="2" width="1.44140625" style="61" customWidth="1"/>
    <col min="3" max="3" width="1.44140625" style="110" customWidth="1"/>
    <col min="4" max="4" width="1.44140625" style="55" customWidth="1"/>
    <col min="5" max="5" width="40.5546875" style="91" customWidth="1"/>
    <col min="6" max="6" width="12.5546875" style="7" customWidth="1"/>
    <col min="7" max="7" width="11.5546875" style="7" customWidth="1"/>
    <col min="8" max="8" width="51.88671875" style="7" bestFit="1" customWidth="1"/>
    <col min="9" max="9" width="2.5546875" style="7" customWidth="1"/>
    <col min="10" max="18" width="11.5546875" style="7" customWidth="1"/>
    <col min="19" max="78" width="11.5546875" style="7" hidden="1" customWidth="1"/>
    <col min="79" max="106" width="0" style="7" hidden="1" customWidth="1"/>
    <col min="107" max="16384" width="9.109375" style="7" hidden="1"/>
  </cols>
  <sheetData>
    <row r="1" spans="1:78" s="122" customFormat="1" ht="25.2" x14ac:dyDescent="0.4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row>
    <row r="5" spans="1:78" s="11" customFormat="1" x14ac:dyDescent="0.25">
      <c r="A5" s="24"/>
      <c r="B5" s="60"/>
      <c r="C5" s="109"/>
      <c r="D5" s="54"/>
      <c r="E5" s="21"/>
      <c r="F5" s="21"/>
      <c r="G5" s="226"/>
      <c r="H5" s="21"/>
      <c r="I5" s="21"/>
      <c r="J5"/>
      <c r="K5"/>
      <c r="L5"/>
      <c r="M5"/>
      <c r="N5"/>
      <c r="O5"/>
      <c r="P5"/>
      <c r="Q5"/>
      <c r="R5"/>
    </row>
    <row r="6" spans="1:78"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5">
      <c r="A9" s="285" t="s">
        <v>181</v>
      </c>
      <c r="B9" s="286"/>
      <c r="C9" s="287"/>
      <c r="D9" s="287"/>
      <c r="E9" s="287"/>
      <c r="F9" s="287"/>
      <c r="G9" s="287"/>
      <c r="H9" s="287"/>
      <c r="I9" s="287"/>
      <c r="J9" s="287"/>
      <c r="K9" s="287"/>
      <c r="L9" s="287"/>
      <c r="M9" s="287"/>
      <c r="N9" s="287"/>
      <c r="O9" s="287"/>
      <c r="P9" s="287"/>
      <c r="Q9" s="287"/>
      <c r="R9" s="287"/>
    </row>
    <row r="10" spans="1:78" x14ac:dyDescent="0.25">
      <c r="B10" s="61" t="s">
        <v>182</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t="str">
        <f xml:space="preserve"> InpR!I$27</f>
        <v>PR19 Financial model, 'Index' sheet row 131</v>
      </c>
      <c r="I11" s="231" t="e">
        <f xml:space="preserve"> InpR!#REF!</f>
        <v>#REF!</v>
      </c>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5">
      <c r="A12" s="50"/>
      <c r="B12" s="61"/>
      <c r="C12" s="116"/>
      <c r="D12" s="53"/>
      <c r="E12" s="231" t="str">
        <f xml:space="preserve"> InpR!E$28</f>
        <v>RPI: May - index - final determination</v>
      </c>
      <c r="F12" s="231"/>
      <c r="G12" s="231" t="str">
        <f xml:space="preserve"> InpR!G$28</f>
        <v>index</v>
      </c>
      <c r="H12" s="231" t="str">
        <f xml:space="preserve"> InpR!I$28</f>
        <v>PR19 Financial model, 'Index' sheet row 132</v>
      </c>
      <c r="I12" s="231" t="e">
        <f xml:space="preserve"> InpR!#REF!</f>
        <v>#REF!</v>
      </c>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5">
      <c r="A13" s="50"/>
      <c r="B13" s="61"/>
      <c r="C13" s="116"/>
      <c r="D13" s="53"/>
      <c r="E13" s="231" t="str">
        <f xml:space="preserve"> InpR!E$29</f>
        <v>RPI: June - index - final determination</v>
      </c>
      <c r="F13" s="231"/>
      <c r="G13" s="231" t="str">
        <f xml:space="preserve"> InpR!G$29</f>
        <v>index</v>
      </c>
      <c r="H13" s="231" t="str">
        <f xml:space="preserve"> InpR!I$29</f>
        <v>PR19 Financial model, 'Index' sheet row 133</v>
      </c>
      <c r="I13" s="231" t="e">
        <f xml:space="preserve"> InpR!#REF!</f>
        <v>#REF!</v>
      </c>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5">
      <c r="A14" s="50"/>
      <c r="B14" s="61"/>
      <c r="C14" s="116"/>
      <c r="D14" s="53"/>
      <c r="E14" s="231" t="str">
        <f xml:space="preserve"> InpR!E$30</f>
        <v>RPI: July - index - final determination</v>
      </c>
      <c r="F14" s="231"/>
      <c r="G14" s="231" t="str">
        <f xml:space="preserve"> InpR!G$30</f>
        <v>index</v>
      </c>
      <c r="H14" s="231" t="str">
        <f xml:space="preserve"> InpR!I$30</f>
        <v>PR19 Financial model, 'Index' sheet row 134</v>
      </c>
      <c r="I14" s="231" t="e">
        <f xml:space="preserve"> InpR!#REF!</f>
        <v>#REF!</v>
      </c>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5">
      <c r="A15" s="50"/>
      <c r="B15" s="61"/>
      <c r="C15" s="116"/>
      <c r="D15" s="53"/>
      <c r="E15" s="231" t="str">
        <f xml:space="preserve"> InpR!E$31</f>
        <v>RPI: August - index - final determination</v>
      </c>
      <c r="F15" s="231"/>
      <c r="G15" s="231" t="str">
        <f xml:space="preserve"> InpR!G$31</f>
        <v>index</v>
      </c>
      <c r="H15" s="231" t="str">
        <f xml:space="preserve"> InpR!I$31</f>
        <v>PR19 Financial model, 'Index' sheet row 135</v>
      </c>
      <c r="I15" s="231" t="e">
        <f xml:space="preserve"> InpR!#REF!</f>
        <v>#REF!</v>
      </c>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5">
      <c r="A16" s="50"/>
      <c r="B16" s="61"/>
      <c r="C16" s="116"/>
      <c r="D16" s="53"/>
      <c r="E16" s="231" t="str">
        <f xml:space="preserve"> InpR!E$32</f>
        <v>RPI: September - index - final determination</v>
      </c>
      <c r="F16" s="231"/>
      <c r="G16" s="231" t="str">
        <f xml:space="preserve"> InpR!G$32</f>
        <v>index</v>
      </c>
      <c r="H16" s="231" t="str">
        <f xml:space="preserve"> InpR!I$32</f>
        <v>PR19 Financial model, 'Index' sheet row 136</v>
      </c>
      <c r="I16" s="231" t="e">
        <f xml:space="preserve"> InpR!#REF!</f>
        <v>#REF!</v>
      </c>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5">
      <c r="A17" s="50"/>
      <c r="B17" s="61"/>
      <c r="C17" s="116"/>
      <c r="D17" s="53"/>
      <c r="E17" s="231" t="str">
        <f xml:space="preserve"> InpR!E$33</f>
        <v>RPI: October - index - final determination</v>
      </c>
      <c r="F17" s="231"/>
      <c r="G17" s="231" t="str">
        <f xml:space="preserve"> InpR!G$33</f>
        <v>index</v>
      </c>
      <c r="H17" s="231" t="str">
        <f xml:space="preserve"> InpR!I$33</f>
        <v>PR19 Financial model, 'Index' sheet row 137</v>
      </c>
      <c r="I17" s="231" t="e">
        <f xml:space="preserve"> InpR!#REF!</f>
        <v>#REF!</v>
      </c>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5">
      <c r="A18" s="50"/>
      <c r="B18" s="61"/>
      <c r="C18" s="116"/>
      <c r="D18" s="53"/>
      <c r="E18" s="231" t="str">
        <f xml:space="preserve"> InpR!E$34</f>
        <v>RPI: November - index - final determination</v>
      </c>
      <c r="F18" s="231"/>
      <c r="G18" s="231" t="str">
        <f xml:space="preserve"> InpR!G$34</f>
        <v>index</v>
      </c>
      <c r="H18" s="231" t="str">
        <f xml:space="preserve"> InpR!I$34</f>
        <v>PR19 Financial model, 'Index' sheet row 138</v>
      </c>
      <c r="I18" s="231" t="e">
        <f xml:space="preserve"> InpR!#REF!</f>
        <v>#REF!</v>
      </c>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5">
      <c r="A19" s="50"/>
      <c r="B19" s="61"/>
      <c r="C19" s="116"/>
      <c r="D19" s="53"/>
      <c r="E19" s="231" t="str">
        <f xml:space="preserve"> InpR!E$35</f>
        <v>RPI: December - index - final determination</v>
      </c>
      <c r="F19" s="231"/>
      <c r="G19" s="231" t="str">
        <f xml:space="preserve"> InpR!G$35</f>
        <v>index</v>
      </c>
      <c r="H19" s="231" t="str">
        <f xml:space="preserve"> InpR!I$35</f>
        <v>PR19 Financial model, 'Index' sheet row 139</v>
      </c>
      <c r="I19" s="231" t="e">
        <f xml:space="preserve"> InpR!#REF!</f>
        <v>#REF!</v>
      </c>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5">
      <c r="A20" s="50"/>
      <c r="B20" s="61"/>
      <c r="C20" s="116"/>
      <c r="D20" s="53"/>
      <c r="E20" s="231" t="str">
        <f xml:space="preserve"> InpR!E$36</f>
        <v>RPI: January - index - final determination</v>
      </c>
      <c r="F20" s="231"/>
      <c r="G20" s="231" t="str">
        <f xml:space="preserve"> InpR!G$36</f>
        <v>index</v>
      </c>
      <c r="H20" s="231" t="str">
        <f xml:space="preserve"> InpR!I$36</f>
        <v>PR19 Financial model, 'Index' sheet row 140</v>
      </c>
      <c r="I20" s="231" t="e">
        <f xml:space="preserve"> InpR!#REF!</f>
        <v>#REF!</v>
      </c>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5">
      <c r="A21" s="50"/>
      <c r="B21" s="61"/>
      <c r="C21" s="116"/>
      <c r="D21" s="53"/>
      <c r="E21" s="231" t="str">
        <f xml:space="preserve"> InpR!E$37</f>
        <v>RPI: February - index - final determination</v>
      </c>
      <c r="F21" s="231"/>
      <c r="G21" s="231" t="str">
        <f xml:space="preserve"> InpR!G$37</f>
        <v>index</v>
      </c>
      <c r="H21" s="231" t="str">
        <f xml:space="preserve"> InpR!I$37</f>
        <v>PR19 Financial model, 'Index' sheet row 141</v>
      </c>
      <c r="I21" s="231" t="e">
        <f xml:space="preserve"> InpR!#REF!</f>
        <v>#REF!</v>
      </c>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5">
      <c r="A22" s="50"/>
      <c r="B22" s="61"/>
      <c r="C22" s="116"/>
      <c r="D22" s="53"/>
      <c r="E22" s="231" t="str">
        <f xml:space="preserve"> InpR!E$38</f>
        <v>RPI: March - index - final determination</v>
      </c>
      <c r="F22" s="231"/>
      <c r="G22" s="231" t="str">
        <f xml:space="preserve"> InpR!G$38</f>
        <v>index</v>
      </c>
      <c r="H22" s="231" t="str">
        <f xml:space="preserve"> InpR!I$38</f>
        <v>PR19 Financial model, 'Index' sheet row 142</v>
      </c>
      <c r="I22" s="231" t="e">
        <f xml:space="preserve"> InpR!#REF!</f>
        <v>#REF!</v>
      </c>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236</v>
      </c>
      <c r="F24" s="91"/>
      <c r="G24" s="91" t="s">
        <v>188</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5">
      <c r="A25" s="50"/>
      <c r="B25" s="61"/>
      <c r="C25" s="116"/>
      <c r="D25" s="55"/>
      <c r="E25" s="91" t="s">
        <v>237</v>
      </c>
      <c r="F25" s="7"/>
      <c r="G25" s="91" t="s">
        <v>94</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t="str">
        <f t="shared" si="2"/>
        <v>PR19 Financial model, 'Index' sheet row 142</v>
      </c>
      <c r="I27" s="91" t="e">
        <f t="shared" si="2"/>
        <v>#REF!</v>
      </c>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5">
      <c r="A28" s="5"/>
      <c r="B28" s="9"/>
      <c r="C28" s="117"/>
      <c r="D28" s="6"/>
      <c r="E28" s="168" t="str">
        <f>E$24</f>
        <v>RPI: Financial year average - index - final determination</v>
      </c>
      <c r="F28" s="7"/>
      <c r="G28" s="91" t="str">
        <f t="shared" ref="G28:R28" si="3">G$24</f>
        <v>index</v>
      </c>
      <c r="H28" s="91">
        <f t="shared" si="3"/>
        <v>0</v>
      </c>
      <c r="I28" s="91">
        <f t="shared" si="3"/>
        <v>0</v>
      </c>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238</v>
      </c>
      <c r="F30" s="7"/>
      <c r="G30" s="91" t="s">
        <v>94</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183</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t="str">
        <f>InpR!I$41</f>
        <v>PR19 Financial model, 'Index' sheet F59 and 'Index' sheet row 10</v>
      </c>
      <c r="I33" s="231" t="e">
        <f>InpR!#REF!</f>
        <v>#REF!</v>
      </c>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5">
      <c r="A34" s="50"/>
      <c r="B34" s="61"/>
      <c r="C34" s="116"/>
      <c r="D34" s="53"/>
      <c r="E34" s="231" t="str">
        <f>InpR!E$42</f>
        <v>CPI(H): May - index - final determination</v>
      </c>
      <c r="F34" s="231"/>
      <c r="G34" s="231" t="str">
        <f>InpR!G$42</f>
        <v>index</v>
      </c>
      <c r="H34" s="231" t="str">
        <f>InpR!I$42</f>
        <v>PR19 Financial model, 'Index' sheet F60 and 'Index' sheet row 11</v>
      </c>
      <c r="I34" s="231" t="e">
        <f>InpR!#REF!</f>
        <v>#REF!</v>
      </c>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5">
      <c r="A35" s="50"/>
      <c r="B35" s="61"/>
      <c r="C35" s="116"/>
      <c r="D35" s="53"/>
      <c r="E35" s="231" t="str">
        <f>InpR!E$43</f>
        <v>CPI(H): June - index - final determination</v>
      </c>
      <c r="F35" s="231"/>
      <c r="G35" s="231" t="str">
        <f>InpR!G$43</f>
        <v>index</v>
      </c>
      <c r="H35" s="231" t="str">
        <f>InpR!I$43</f>
        <v>PR19 Financial model, 'Index' sheet F61 and 'Index' sheet row 12</v>
      </c>
      <c r="I35" s="231" t="e">
        <f>InpR!#REF!</f>
        <v>#REF!</v>
      </c>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5">
      <c r="A36" s="50"/>
      <c r="B36" s="61"/>
      <c r="C36" s="116"/>
      <c r="D36" s="53"/>
      <c r="E36" s="231" t="str">
        <f>InpR!E$44</f>
        <v>CPI(H): July - index - final determination</v>
      </c>
      <c r="F36" s="231"/>
      <c r="G36" s="231" t="str">
        <f>InpR!G$44</f>
        <v>index</v>
      </c>
      <c r="H36" s="231" t="str">
        <f>InpR!I$44</f>
        <v>PR19 Financial model, 'Index' sheet F62 and 'Index' sheet row 13</v>
      </c>
      <c r="I36" s="231" t="e">
        <f>InpR!#REF!</f>
        <v>#REF!</v>
      </c>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5">
      <c r="A37" s="50"/>
      <c r="B37" s="61"/>
      <c r="C37" s="116"/>
      <c r="D37" s="53"/>
      <c r="E37" s="231" t="str">
        <f>InpR!E$45</f>
        <v>CPI(H): August - index - final determination</v>
      </c>
      <c r="F37" s="231"/>
      <c r="G37" s="231" t="str">
        <f>InpR!G$45</f>
        <v>index</v>
      </c>
      <c r="H37" s="231" t="str">
        <f>InpR!I$45</f>
        <v>PR19 Financial model, 'Index' sheet F63 and 'Index' sheet row 14</v>
      </c>
      <c r="I37" s="231" t="e">
        <f>InpR!#REF!</f>
        <v>#REF!</v>
      </c>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5">
      <c r="A38" s="50"/>
      <c r="B38" s="61"/>
      <c r="C38" s="116"/>
      <c r="D38" s="53"/>
      <c r="E38" s="231" t="str">
        <f>InpR!E$46</f>
        <v>CPI(H): September - index - final determination</v>
      </c>
      <c r="F38" s="231"/>
      <c r="G38" s="231" t="str">
        <f>InpR!G$46</f>
        <v>index</v>
      </c>
      <c r="H38" s="231" t="str">
        <f>InpR!I$46</f>
        <v>PR19 Financial model, 'Index' sheet F64 and 'Index' sheet row 15</v>
      </c>
      <c r="I38" s="231" t="e">
        <f>InpR!#REF!</f>
        <v>#REF!</v>
      </c>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5">
      <c r="A39" s="50"/>
      <c r="B39" s="61"/>
      <c r="C39" s="116"/>
      <c r="D39" s="53"/>
      <c r="E39" s="231" t="str">
        <f>InpR!E$47</f>
        <v>CPI(H): October - index - final determination</v>
      </c>
      <c r="F39" s="231"/>
      <c r="G39" s="231" t="str">
        <f>InpR!G$47</f>
        <v>index</v>
      </c>
      <c r="H39" s="231" t="str">
        <f>InpR!I$47</f>
        <v>PR19 Financial model, 'Index' sheet F65 and 'Index' sheet row 16</v>
      </c>
      <c r="I39" s="231" t="e">
        <f>InpR!#REF!</f>
        <v>#REF!</v>
      </c>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5">
      <c r="A40" s="50"/>
      <c r="B40" s="61"/>
      <c r="C40" s="116"/>
      <c r="D40" s="53"/>
      <c r="E40" s="231" t="str">
        <f>InpR!E$48</f>
        <v>CPI(H): November - index - final determination</v>
      </c>
      <c r="F40" s="231"/>
      <c r="G40" s="231" t="str">
        <f>InpR!G$48</f>
        <v>index</v>
      </c>
      <c r="H40" s="231" t="str">
        <f>InpR!I$48</f>
        <v>PR19 Financial model, 'Index' sheet F66 and 'Index' sheet row 17</v>
      </c>
      <c r="I40" s="231" t="e">
        <f>InpR!#REF!</f>
        <v>#REF!</v>
      </c>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5">
      <c r="A41" s="50"/>
      <c r="B41" s="61"/>
      <c r="C41" s="116"/>
      <c r="D41" s="53"/>
      <c r="E41" s="231" t="str">
        <f>InpR!E$49</f>
        <v>CPI(H): December - index - final determination</v>
      </c>
      <c r="F41" s="231"/>
      <c r="G41" s="231" t="str">
        <f>InpR!G$49</f>
        <v>index</v>
      </c>
      <c r="H41" s="231" t="str">
        <f>InpR!I$49</f>
        <v>PR19 Financial model, 'Index' sheet F67 and 'Index' sheet row 18</v>
      </c>
      <c r="I41" s="231" t="e">
        <f>InpR!#REF!</f>
        <v>#REF!</v>
      </c>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5">
      <c r="A42" s="50"/>
      <c r="B42" s="61"/>
      <c r="C42" s="116"/>
      <c r="D42" s="53"/>
      <c r="E42" s="231" t="str">
        <f>InpR!E$50</f>
        <v>CPI(H): January - index - final determination</v>
      </c>
      <c r="F42" s="231"/>
      <c r="G42" s="231" t="str">
        <f>InpR!G$50</f>
        <v>index</v>
      </c>
      <c r="H42" s="231" t="str">
        <f>InpR!I$50</f>
        <v>PR19 Financial model, 'Index' sheet F68 and 'Index' sheet row 19</v>
      </c>
      <c r="I42" s="231" t="e">
        <f>InpR!#REF!</f>
        <v>#REF!</v>
      </c>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5">
      <c r="A43" s="50"/>
      <c r="B43" s="61"/>
      <c r="C43" s="116"/>
      <c r="D43" s="53"/>
      <c r="E43" s="231" t="str">
        <f>InpR!E$51</f>
        <v>CPI(H): February - index - final determination</v>
      </c>
      <c r="F43" s="231"/>
      <c r="G43" s="231" t="str">
        <f>InpR!G$51</f>
        <v>index</v>
      </c>
      <c r="H43" s="231" t="str">
        <f>InpR!I$51</f>
        <v>PR19 Financial model, 'Index' sheet F69 and 'Index' sheet row 20</v>
      </c>
      <c r="I43" s="231" t="e">
        <f>InpR!#REF!</f>
        <v>#REF!</v>
      </c>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5">
      <c r="A44" s="50"/>
      <c r="B44" s="61"/>
      <c r="C44" s="116"/>
      <c r="D44" s="53"/>
      <c r="E44" s="231" t="str">
        <f>InpR!E$52</f>
        <v>CPI(H): March - index - final determination</v>
      </c>
      <c r="F44" s="231"/>
      <c r="G44" s="231" t="str">
        <f>InpR!G$52</f>
        <v>index</v>
      </c>
      <c r="H44" s="231" t="str">
        <f>InpR!I$52</f>
        <v>PR19 Financial model, 'Index' sheet F70 and 'Index' sheet row 21</v>
      </c>
      <c r="I44" s="231" t="e">
        <f>InpR!#REF!</f>
        <v>#REF!</v>
      </c>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239</v>
      </c>
      <c r="F46" s="91"/>
      <c r="G46" s="91" t="s">
        <v>188</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5">
      <c r="A47" s="50"/>
      <c r="B47" s="61"/>
      <c r="C47" s="116"/>
      <c r="D47" s="55"/>
      <c r="E47" s="237" t="s">
        <v>240</v>
      </c>
      <c r="F47" s="237"/>
      <c r="G47" s="237" t="s">
        <v>94</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5">
      <c r="A48" s="50"/>
      <c r="B48" s="61"/>
      <c r="C48" s="116"/>
      <c r="D48" s="55"/>
      <c r="E48" s="91" t="s">
        <v>241</v>
      </c>
      <c r="F48" s="7"/>
      <c r="G48" s="91" t="s">
        <v>94</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t="str">
        <f t="shared" si="8"/>
        <v>PR19 Financial model, 'Index' sheet F70 and 'Index' sheet row 21</v>
      </c>
      <c r="I50" s="91" t="e">
        <f t="shared" si="8"/>
        <v>#REF!</v>
      </c>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5">
      <c r="A51" s="50"/>
      <c r="B51" s="61"/>
      <c r="C51" s="116"/>
      <c r="D51" s="55"/>
      <c r="E51" s="91" t="str">
        <f>E$46</f>
        <v>CPI(H): Financial year average - index - final determination</v>
      </c>
      <c r="F51" s="91"/>
      <c r="G51" s="91" t="str">
        <f t="shared" ref="G51:R51" si="9">G$46</f>
        <v>index</v>
      </c>
      <c r="H51" s="91">
        <f t="shared" si="9"/>
        <v>0</v>
      </c>
      <c r="I51" s="91">
        <f t="shared" si="9"/>
        <v>0</v>
      </c>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242</v>
      </c>
      <c r="F53" s="7"/>
      <c r="G53" s="91" t="s">
        <v>94</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243</v>
      </c>
      <c r="F57" s="7"/>
      <c r="G57" s="91" t="s">
        <v>94</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244</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f t="shared" si="14"/>
        <v>0</v>
      </c>
      <c r="I60" s="168">
        <f t="shared" si="14"/>
        <v>0</v>
      </c>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f t="shared" si="15"/>
        <v>0</v>
      </c>
      <c r="I61" s="168">
        <f t="shared" si="15"/>
        <v>0</v>
      </c>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245</v>
      </c>
      <c r="F63" s="168"/>
      <c r="G63" s="168" t="s">
        <v>94</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f t="shared" si="18"/>
        <v>0</v>
      </c>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5">
      <c r="A67" s="50"/>
      <c r="B67" s="61"/>
      <c r="C67" s="116"/>
      <c r="D67" s="55"/>
      <c r="E67" s="168" t="s">
        <v>246</v>
      </c>
      <c r="F67" s="168"/>
      <c r="G67" s="168" t="s">
        <v>94</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f t="shared" si="22"/>
        <v>0</v>
      </c>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5">
      <c r="A71" s="50"/>
      <c r="B71" s="61"/>
      <c r="C71" s="116"/>
      <c r="D71" s="55"/>
      <c r="E71" s="237" t="s">
        <v>247</v>
      </c>
      <c r="F71" s="237"/>
      <c r="G71" s="237" t="s">
        <v>94</v>
      </c>
      <c r="H71" s="237"/>
      <c r="I71" s="237">
        <f>I$167</f>
        <v>0</v>
      </c>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x14ac:dyDescent="0.25">
      <c r="A73" s="285" t="s">
        <v>184</v>
      </c>
      <c r="B73" s="286"/>
      <c r="C73" s="287"/>
      <c r="D73" s="287"/>
      <c r="E73" s="287"/>
      <c r="F73" s="287"/>
      <c r="G73" s="287"/>
      <c r="H73" s="287"/>
      <c r="I73" s="287"/>
      <c r="J73" s="287"/>
      <c r="K73" s="287"/>
      <c r="L73" s="287"/>
      <c r="M73" s="287"/>
      <c r="N73" s="287"/>
      <c r="O73" s="287"/>
      <c r="P73" s="287"/>
      <c r="Q73" s="287"/>
      <c r="R73" s="287"/>
    </row>
    <row r="74" spans="1:18" s="65" customFormat="1" x14ac:dyDescent="0.25">
      <c r="A74" s="50"/>
      <c r="B74" s="61" t="s">
        <v>185</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t="str">
        <f>InpR!I$56</f>
        <v>ONS, RPI All Items Index: Jan 1987=100</v>
      </c>
      <c r="I75" s="231" t="e">
        <f>InpR!#REF!</f>
        <v>#REF!</v>
      </c>
      <c r="J75" s="231">
        <f>InpR!J$56</f>
        <v>0</v>
      </c>
      <c r="K75" s="231">
        <f>InpR!K$56</f>
        <v>279.7</v>
      </c>
      <c r="L75" s="231">
        <f>InpR!L$56</f>
        <v>288.2</v>
      </c>
      <c r="M75" s="231">
        <f>InpR!M$56</f>
        <v>292.60000000000002</v>
      </c>
      <c r="N75" s="231">
        <f>InpR!N$56</f>
        <v>301.10000000000002</v>
      </c>
      <c r="O75" s="231">
        <f>InpR!O$56</f>
        <v>334.6</v>
      </c>
      <c r="P75" s="231">
        <f>InpR!P$56</f>
        <v>372.8</v>
      </c>
      <c r="Q75" s="231">
        <f>InpR!Q$56</f>
        <v>389.57599999999996</v>
      </c>
      <c r="R75" s="231">
        <f>InpR!R$56</f>
        <v>0</v>
      </c>
    </row>
    <row r="76" spans="1:18" s="65" customFormat="1" x14ac:dyDescent="0.25">
      <c r="A76" s="50"/>
      <c r="B76" s="61"/>
      <c r="C76" s="116"/>
      <c r="D76" s="53"/>
      <c r="E76" s="231" t="str">
        <f>InpR!E$57</f>
        <v>RPI: May - index - actual (including forecast)</v>
      </c>
      <c r="F76" s="231"/>
      <c r="G76" s="231" t="str">
        <f>InpR!G$57</f>
        <v>index</v>
      </c>
      <c r="H76" s="231" t="str">
        <f>InpR!I$57</f>
        <v>ONS, RPI All Items Index: Jan 1987=100</v>
      </c>
      <c r="I76" s="231" t="e">
        <f>InpR!#REF!</f>
        <v>#REF!</v>
      </c>
      <c r="J76" s="231">
        <f>InpR!J$57</f>
        <v>0</v>
      </c>
      <c r="K76" s="231">
        <f>InpR!K$57</f>
        <v>280.7</v>
      </c>
      <c r="L76" s="231">
        <f>InpR!L$57</f>
        <v>289.2</v>
      </c>
      <c r="M76" s="231">
        <f>InpR!M$57</f>
        <v>292.2</v>
      </c>
      <c r="N76" s="231">
        <f>InpR!N$57</f>
        <v>301.89999999999998</v>
      </c>
      <c r="O76" s="231">
        <f>InpR!O$57</f>
        <v>337.1</v>
      </c>
      <c r="P76" s="231">
        <f>InpR!P$57</f>
        <v>374.18100000000004</v>
      </c>
      <c r="Q76" s="231">
        <f>InpR!Q$57</f>
        <v>389.14824000000004</v>
      </c>
      <c r="R76" s="231">
        <f>InpR!R$57</f>
        <v>0</v>
      </c>
    </row>
    <row r="77" spans="1:18" s="65" customFormat="1" x14ac:dyDescent="0.25">
      <c r="A77" s="50"/>
      <c r="B77" s="61"/>
      <c r="C77" s="116"/>
      <c r="D77" s="53"/>
      <c r="E77" s="231" t="str">
        <f>InpR!E$58</f>
        <v>RPI: June - index - actual (including forecast)</v>
      </c>
      <c r="F77" s="231"/>
      <c r="G77" s="231" t="str">
        <f>InpR!G$58</f>
        <v>index</v>
      </c>
      <c r="H77" s="231" t="str">
        <f>InpR!I$58</f>
        <v>ONS, RPI All Items Index: Jan 1987=100</v>
      </c>
      <c r="I77" s="231" t="e">
        <f>InpR!#REF!</f>
        <v>#REF!</v>
      </c>
      <c r="J77" s="231">
        <f>InpR!J$58</f>
        <v>0</v>
      </c>
      <c r="K77" s="231">
        <f>InpR!K$58</f>
        <v>281.5</v>
      </c>
      <c r="L77" s="231">
        <f>InpR!L$58</f>
        <v>289.60000000000002</v>
      </c>
      <c r="M77" s="231">
        <f>InpR!M$58</f>
        <v>292.7</v>
      </c>
      <c r="N77" s="231">
        <f>InpR!N$58</f>
        <v>304</v>
      </c>
      <c r="O77" s="231">
        <f>InpR!O$58</f>
        <v>340</v>
      </c>
      <c r="P77" s="231">
        <f>InpR!P$58</f>
        <v>377.40000000000003</v>
      </c>
      <c r="Q77" s="231">
        <f>InpR!Q$58</f>
        <v>392.49600000000004</v>
      </c>
      <c r="R77" s="231">
        <f>InpR!R$58</f>
        <v>0</v>
      </c>
    </row>
    <row r="78" spans="1:18" s="65" customFormat="1" x14ac:dyDescent="0.25">
      <c r="A78" s="50"/>
      <c r="B78" s="61"/>
      <c r="C78" s="116"/>
      <c r="D78" s="53"/>
      <c r="E78" s="231" t="str">
        <f>InpR!E$59</f>
        <v>RPI: July - index - actual (including forecast)</v>
      </c>
      <c r="F78" s="231"/>
      <c r="G78" s="231" t="str">
        <f>InpR!G$59</f>
        <v>index</v>
      </c>
      <c r="H78" s="231" t="str">
        <f>InpR!I$59</f>
        <v>ONS, RPI All Items Index: Jan 1987=100</v>
      </c>
      <c r="I78" s="231" t="e">
        <f>InpR!#REF!</f>
        <v>#REF!</v>
      </c>
      <c r="J78" s="231">
        <f>InpR!J$59</f>
        <v>0</v>
      </c>
      <c r="K78" s="231">
        <f>InpR!K$59</f>
        <v>281.7</v>
      </c>
      <c r="L78" s="231">
        <f>InpR!L$59</f>
        <v>289.5</v>
      </c>
      <c r="M78" s="231">
        <f>InpR!M$59</f>
        <v>294.2</v>
      </c>
      <c r="N78" s="231">
        <f>InpR!N$59</f>
        <v>305.5</v>
      </c>
      <c r="O78" s="231">
        <f>InpR!O$59</f>
        <v>343.2</v>
      </c>
      <c r="P78" s="231">
        <f>InpR!P$59</f>
        <v>374.08800000000002</v>
      </c>
      <c r="Q78" s="231">
        <f>InpR!Q$59</f>
        <v>389.05152000000004</v>
      </c>
      <c r="R78" s="231">
        <f>InpR!R$59</f>
        <v>0</v>
      </c>
    </row>
    <row r="79" spans="1:18" s="65" customFormat="1" x14ac:dyDescent="0.25">
      <c r="A79" s="50"/>
      <c r="B79" s="61"/>
      <c r="C79" s="116"/>
      <c r="D79" s="53"/>
      <c r="E79" s="231" t="str">
        <f>InpR!E$60</f>
        <v>RPI: August - index - actual (including forecast)</v>
      </c>
      <c r="F79" s="231"/>
      <c r="G79" s="231" t="str">
        <f>InpR!G$60</f>
        <v>index</v>
      </c>
      <c r="H79" s="231" t="str">
        <f>InpR!I$60</f>
        <v>ONS, RPI All Items Index: Jan 1987=100</v>
      </c>
      <c r="I79" s="231" t="e">
        <f>InpR!#REF!</f>
        <v>#REF!</v>
      </c>
      <c r="J79" s="231">
        <f>InpR!J$60</f>
        <v>0</v>
      </c>
      <c r="K79" s="231">
        <f>InpR!K$60</f>
        <v>284.2</v>
      </c>
      <c r="L79" s="231">
        <f>InpR!L$60</f>
        <v>291.7</v>
      </c>
      <c r="M79" s="231">
        <f>InpR!M$60</f>
        <v>293.3</v>
      </c>
      <c r="N79" s="231">
        <f>InpR!N$60</f>
        <v>307.39999999999998</v>
      </c>
      <c r="O79" s="231">
        <f>InpR!O$60</f>
        <v>345.2</v>
      </c>
      <c r="P79" s="231">
        <f>InpR!P$60</f>
        <v>376.26800000000003</v>
      </c>
      <c r="Q79" s="231">
        <f>InpR!Q$60</f>
        <v>391.31872000000004</v>
      </c>
      <c r="R79" s="231">
        <f>InpR!R$60</f>
        <v>0</v>
      </c>
    </row>
    <row r="80" spans="1:18" s="65" customFormat="1" x14ac:dyDescent="0.25">
      <c r="A80" s="50"/>
      <c r="B80" s="61"/>
      <c r="C80" s="116"/>
      <c r="D80" s="53"/>
      <c r="E80" s="231" t="str">
        <f>InpR!E$61</f>
        <v>RPI: September - index - actual (including forecast)</v>
      </c>
      <c r="F80" s="231"/>
      <c r="G80" s="231" t="str">
        <f>InpR!G$61</f>
        <v>index</v>
      </c>
      <c r="H80" s="231" t="str">
        <f>InpR!I$61</f>
        <v>ONS, RPI All Items Index: Jan 1987=100</v>
      </c>
      <c r="I80" s="231" t="e">
        <f>InpR!#REF!</f>
        <v>#REF!</v>
      </c>
      <c r="J80" s="231">
        <f>InpR!J$61</f>
        <v>0</v>
      </c>
      <c r="K80" s="231">
        <f>InpR!K$61</f>
        <v>284.10000000000002</v>
      </c>
      <c r="L80" s="231">
        <f>InpR!L$61</f>
        <v>291</v>
      </c>
      <c r="M80" s="231">
        <f>InpR!M$61</f>
        <v>294.3</v>
      </c>
      <c r="N80" s="231">
        <f>InpR!N$61</f>
        <v>308.60000000000002</v>
      </c>
      <c r="O80" s="231">
        <f>InpR!O$61</f>
        <v>347.6</v>
      </c>
      <c r="P80" s="231">
        <f>InpR!P$61</f>
        <v>377.14600000000002</v>
      </c>
      <c r="Q80" s="231">
        <f>InpR!Q$61</f>
        <v>392.23184000000003</v>
      </c>
      <c r="R80" s="231">
        <f>InpR!R$61</f>
        <v>0</v>
      </c>
    </row>
    <row r="81" spans="1:18" s="65" customFormat="1" x14ac:dyDescent="0.25">
      <c r="A81" s="50"/>
      <c r="B81" s="61"/>
      <c r="C81" s="116"/>
      <c r="D81" s="53"/>
      <c r="E81" s="231" t="str">
        <f>InpR!E$62</f>
        <v>RPI: October - index - actual (including forecast)</v>
      </c>
      <c r="F81" s="231"/>
      <c r="G81" s="231" t="str">
        <f>InpR!G$62</f>
        <v>index</v>
      </c>
      <c r="H81" s="231" t="str">
        <f>InpR!I$62</f>
        <v>ONS, RPI All Items Index: Jan 1987=100</v>
      </c>
      <c r="I81" s="231" t="e">
        <f>InpR!#REF!</f>
        <v>#REF!</v>
      </c>
      <c r="J81" s="231">
        <f>InpR!J$62</f>
        <v>0</v>
      </c>
      <c r="K81" s="231">
        <f>InpR!K$62</f>
        <v>284.5</v>
      </c>
      <c r="L81" s="231">
        <f>InpR!L$62</f>
        <v>290.39999999999998</v>
      </c>
      <c r="M81" s="231">
        <f>InpR!M$62</f>
        <v>294.3</v>
      </c>
      <c r="N81" s="231">
        <f>InpR!N$62</f>
        <v>312</v>
      </c>
      <c r="O81" s="231">
        <f>InpR!O$62</f>
        <v>356.2</v>
      </c>
      <c r="P81" s="231">
        <f>InpR!P$62</f>
        <v>379.35299999999995</v>
      </c>
      <c r="Q81" s="231">
        <f>InpR!Q$62</f>
        <v>394.52711999999997</v>
      </c>
      <c r="R81" s="231">
        <f>InpR!R$62</f>
        <v>0</v>
      </c>
    </row>
    <row r="82" spans="1:18" s="65" customFormat="1" x14ac:dyDescent="0.25">
      <c r="A82" s="50"/>
      <c r="B82" s="61"/>
      <c r="C82" s="116"/>
      <c r="D82" s="53"/>
      <c r="E82" s="231" t="str">
        <f>InpR!E$63</f>
        <v>RPI: November - index - actual (including forecast)</v>
      </c>
      <c r="F82" s="231"/>
      <c r="G82" s="231" t="str">
        <f>InpR!G$63</f>
        <v>index</v>
      </c>
      <c r="H82" s="231" t="str">
        <f>InpR!I$63</f>
        <v>ONS, RPI All Items Index: Jan 1987=100</v>
      </c>
      <c r="I82" s="231" t="e">
        <f>InpR!#REF!</f>
        <v>#REF!</v>
      </c>
      <c r="J82" s="231">
        <f>InpR!J$63</f>
        <v>0</v>
      </c>
      <c r="K82" s="231">
        <f>InpR!K$63</f>
        <v>284.60000000000002</v>
      </c>
      <c r="L82" s="231">
        <f>InpR!L$63</f>
        <v>291</v>
      </c>
      <c r="M82" s="231">
        <f>InpR!M$63</f>
        <v>293.5</v>
      </c>
      <c r="N82" s="231">
        <f>InpR!N$63</f>
        <v>314.3</v>
      </c>
      <c r="O82" s="231">
        <f>InpR!O$63</f>
        <v>358.3</v>
      </c>
      <c r="P82" s="231">
        <f>InpR!P$63</f>
        <v>379.79800000000006</v>
      </c>
      <c r="Q82" s="231">
        <f>InpR!Q$63</f>
        <v>394.9899200000001</v>
      </c>
      <c r="R82" s="231">
        <f>InpR!R$63</f>
        <v>0</v>
      </c>
    </row>
    <row r="83" spans="1:18" s="65" customFormat="1" x14ac:dyDescent="0.25">
      <c r="A83" s="50"/>
      <c r="B83" s="61"/>
      <c r="C83" s="116"/>
      <c r="D83" s="53"/>
      <c r="E83" s="231" t="str">
        <f>InpR!E$64</f>
        <v>RPI: December - index - actual (including forecast)</v>
      </c>
      <c r="F83" s="231"/>
      <c r="G83" s="231" t="str">
        <f>InpR!G$64</f>
        <v>index</v>
      </c>
      <c r="H83" s="231" t="str">
        <f>InpR!I$64</f>
        <v>ONS, RPI All Items Index: Jan 1987=100</v>
      </c>
      <c r="I83" s="231" t="e">
        <f>InpR!#REF!</f>
        <v>#REF!</v>
      </c>
      <c r="J83" s="231">
        <f>InpR!J$64</f>
        <v>0</v>
      </c>
      <c r="K83" s="231">
        <f>InpR!K$64</f>
        <v>285.60000000000002</v>
      </c>
      <c r="L83" s="231">
        <f>InpR!L$64</f>
        <v>291.89999999999998</v>
      </c>
      <c r="M83" s="231">
        <f>InpR!M$64</f>
        <v>295.39999999999998</v>
      </c>
      <c r="N83" s="231">
        <f>InpR!N$64</f>
        <v>317.7</v>
      </c>
      <c r="O83" s="231">
        <f>InpR!O$64</f>
        <v>360.4</v>
      </c>
      <c r="P83" s="231">
        <f>InpR!P$64</f>
        <v>382.024</v>
      </c>
      <c r="Q83" s="231">
        <f>InpR!Q$64</f>
        <v>397.30495999999999</v>
      </c>
      <c r="R83" s="231">
        <f>InpR!R$64</f>
        <v>0</v>
      </c>
    </row>
    <row r="84" spans="1:18" s="65" customFormat="1" x14ac:dyDescent="0.25">
      <c r="A84" s="50"/>
      <c r="B84" s="61"/>
      <c r="C84" s="116"/>
      <c r="D84" s="53"/>
      <c r="E84" s="231" t="str">
        <f>InpR!E$65</f>
        <v>RPI: January - index - actual (including forecast)</v>
      </c>
      <c r="F84" s="231"/>
      <c r="G84" s="231" t="str">
        <f>InpR!G$65</f>
        <v>index</v>
      </c>
      <c r="H84" s="231" t="str">
        <f>InpR!I$65</f>
        <v>ONS, RPI All Items Index: Jan 1987=100</v>
      </c>
      <c r="I84" s="231" t="e">
        <f>InpR!#REF!</f>
        <v>#REF!</v>
      </c>
      <c r="J84" s="231">
        <f>InpR!J$65</f>
        <v>0</v>
      </c>
      <c r="K84" s="231">
        <f>InpR!K$65</f>
        <v>283</v>
      </c>
      <c r="L84" s="231">
        <f>InpR!L$65</f>
        <v>290.60000000000002</v>
      </c>
      <c r="M84" s="231">
        <f>InpR!M$65</f>
        <v>294.60000000000002</v>
      </c>
      <c r="N84" s="231">
        <f>InpR!N$65</f>
        <v>317.7</v>
      </c>
      <c r="O84" s="231">
        <f>InpR!O$65</f>
        <v>360.3</v>
      </c>
      <c r="P84" s="231">
        <f>InpR!P$65</f>
        <v>381.91800000000001</v>
      </c>
      <c r="Q84" s="231">
        <f>InpR!Q$65</f>
        <v>393.37554</v>
      </c>
      <c r="R84" s="231">
        <f>InpR!R$65</f>
        <v>0</v>
      </c>
    </row>
    <row r="85" spans="1:18" s="65" customFormat="1" x14ac:dyDescent="0.25">
      <c r="A85" s="50"/>
      <c r="B85" s="61"/>
      <c r="C85" s="116"/>
      <c r="D85" s="53"/>
      <c r="E85" s="231" t="str">
        <f>InpR!E$66</f>
        <v>RPI: February - index - actual (including forecast)</v>
      </c>
      <c r="F85" s="231"/>
      <c r="G85" s="231" t="str">
        <f>InpR!G$66</f>
        <v>index</v>
      </c>
      <c r="H85" s="231" t="str">
        <f>InpR!I$66</f>
        <v>ONS, RPI All Items Index: Jan 1987=100</v>
      </c>
      <c r="I85" s="231" t="e">
        <f>InpR!#REF!</f>
        <v>#REF!</v>
      </c>
      <c r="J85" s="231">
        <f>InpR!J$66</f>
        <v>0</v>
      </c>
      <c r="K85" s="231">
        <f>InpR!K$66</f>
        <v>285</v>
      </c>
      <c r="L85" s="231">
        <f>InpR!L$66</f>
        <v>292</v>
      </c>
      <c r="M85" s="231">
        <f>InpR!M$66</f>
        <v>296</v>
      </c>
      <c r="N85" s="231">
        <f>InpR!N$66</f>
        <v>320.2</v>
      </c>
      <c r="O85" s="231">
        <f>InpR!O$66</f>
        <v>364.5</v>
      </c>
      <c r="P85" s="231">
        <f>InpR!P$66</f>
        <v>384.54749999999996</v>
      </c>
      <c r="Q85" s="231">
        <f>InpR!Q$66</f>
        <v>396.08392499999997</v>
      </c>
      <c r="R85" s="231">
        <f>InpR!R$66</f>
        <v>0</v>
      </c>
    </row>
    <row r="86" spans="1:18" s="65" customFormat="1" x14ac:dyDescent="0.25">
      <c r="A86" s="50"/>
      <c r="B86" s="61"/>
      <c r="C86" s="116"/>
      <c r="D86" s="53"/>
      <c r="E86" s="231" t="str">
        <f>InpR!E$67</f>
        <v>RPI: March - index - actual (including forecast)</v>
      </c>
      <c r="F86" s="231"/>
      <c r="G86" s="231" t="str">
        <f>InpR!G$67</f>
        <v>index</v>
      </c>
      <c r="H86" s="231" t="str">
        <f>InpR!I$67</f>
        <v>ONS, RPI All Items Index: Jan 1987=100</v>
      </c>
      <c r="I86" s="231" t="e">
        <f>InpR!#REF!</f>
        <v>#REF!</v>
      </c>
      <c r="J86" s="231">
        <f>InpR!J$67</f>
        <v>0</v>
      </c>
      <c r="K86" s="231">
        <f>InpR!K$67</f>
        <v>285.10000000000002</v>
      </c>
      <c r="L86" s="231">
        <f>InpR!L$67</f>
        <v>292.60000000000002</v>
      </c>
      <c r="M86" s="231">
        <f>InpR!M$67</f>
        <v>296.89999999999998</v>
      </c>
      <c r="N86" s="231">
        <f>InpR!N$67</f>
        <v>323.5</v>
      </c>
      <c r="O86" s="231">
        <f>InpR!O$67</f>
        <v>367.2</v>
      </c>
      <c r="P86" s="231">
        <f>InpR!P$67</f>
        <v>385.56</v>
      </c>
      <c r="Q86" s="231">
        <f>InpR!Q$67</f>
        <v>397.1268</v>
      </c>
      <c r="R86" s="231">
        <f>InpR!R$67</f>
        <v>0</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248</v>
      </c>
      <c r="F88" s="91"/>
      <c r="G88" s="91" t="s">
        <v>188</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378.75695833333339</v>
      </c>
      <c r="Q88" s="91">
        <f t="shared" si="24"/>
        <v>393.10254875000004</v>
      </c>
      <c r="R88" s="91">
        <f t="shared" si="24"/>
        <v>0</v>
      </c>
    </row>
    <row r="89" spans="1:18" s="65" customFormat="1" x14ac:dyDescent="0.25">
      <c r="A89" s="50"/>
      <c r="B89" s="61"/>
      <c r="C89" s="116"/>
      <c r="D89" s="55"/>
      <c r="E89" s="91" t="s">
        <v>249</v>
      </c>
      <c r="F89" s="7"/>
      <c r="G89" s="91" t="s">
        <v>94</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7.8413965738148406E-2</v>
      </c>
      <c r="Q89" s="232">
        <f t="shared" si="25"/>
        <v>3.7875450473022099E-2</v>
      </c>
      <c r="R89" s="232">
        <f t="shared" si="25"/>
        <v>-1</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t="str">
        <f t="shared" si="26"/>
        <v>ONS, RPI All Items Index: Jan 1987=100</v>
      </c>
      <c r="I91" s="91" t="e">
        <f t="shared" si="26"/>
        <v>#REF!</v>
      </c>
      <c r="J91" s="91">
        <f t="shared" si="26"/>
        <v>0</v>
      </c>
      <c r="K91" s="91">
        <f t="shared" si="26"/>
        <v>285.10000000000002</v>
      </c>
      <c r="L91" s="91">
        <f t="shared" si="26"/>
        <v>292.60000000000002</v>
      </c>
      <c r="M91" s="91">
        <f t="shared" si="26"/>
        <v>296.89999999999998</v>
      </c>
      <c r="N91" s="91">
        <f t="shared" si="26"/>
        <v>323.5</v>
      </c>
      <c r="O91" s="91">
        <f t="shared" si="26"/>
        <v>367.2</v>
      </c>
      <c r="P91" s="91">
        <f t="shared" si="26"/>
        <v>385.56</v>
      </c>
      <c r="Q91" s="91">
        <f t="shared" si="26"/>
        <v>397.1268</v>
      </c>
      <c r="R91" s="91">
        <f t="shared" si="26"/>
        <v>0</v>
      </c>
    </row>
    <row r="92" spans="1:18" s="65" customFormat="1" x14ac:dyDescent="0.25">
      <c r="A92" s="5"/>
      <c r="B92" s="9"/>
      <c r="C92" s="117"/>
      <c r="D92" s="6"/>
      <c r="E92" s="168" t="str">
        <f>E$88</f>
        <v>RPI: Financial year average - index - actual (including forecast)</v>
      </c>
      <c r="F92" s="7"/>
      <c r="G92" s="91" t="str">
        <f>G$88</f>
        <v>index</v>
      </c>
      <c r="H92" s="91">
        <f t="shared" ref="H92:R92" si="27">H$88</f>
        <v>0</v>
      </c>
      <c r="I92" s="91">
        <f t="shared" si="27"/>
        <v>0</v>
      </c>
      <c r="J92" s="91">
        <f t="shared" si="27"/>
        <v>0</v>
      </c>
      <c r="K92" s="91">
        <f t="shared" si="27"/>
        <v>283.30833333333334</v>
      </c>
      <c r="L92" s="91">
        <f t="shared" si="27"/>
        <v>290.64166666666665</v>
      </c>
      <c r="M92" s="91">
        <f t="shared" si="27"/>
        <v>294.16666666666669</v>
      </c>
      <c r="N92" s="91">
        <f t="shared" si="27"/>
        <v>311.1583333333333</v>
      </c>
      <c r="O92" s="91">
        <f t="shared" si="27"/>
        <v>351.2166666666667</v>
      </c>
      <c r="P92" s="91">
        <f t="shared" si="27"/>
        <v>378.75695833333339</v>
      </c>
      <c r="Q92" s="91">
        <f t="shared" si="27"/>
        <v>393.10254875000004</v>
      </c>
      <c r="R92" s="91">
        <f t="shared" si="27"/>
        <v>0</v>
      </c>
    </row>
    <row r="93" spans="1:18" s="65" customFormat="1"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250</v>
      </c>
      <c r="F94" s="7"/>
      <c r="G94" s="91" t="s">
        <v>94</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186</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t="str">
        <f>InpR!I$70</f>
        <v>ONS, CPIH INDEX 00: ALL ITEMS 2015=100</v>
      </c>
      <c r="I97" s="231" t="e">
        <f>InpR!#REF!</f>
        <v>#REF!</v>
      </c>
      <c r="J97" s="231">
        <f>InpR!J$70</f>
        <v>103.2</v>
      </c>
      <c r="K97" s="231">
        <f>InpR!K$70</f>
        <v>105.5</v>
      </c>
      <c r="L97" s="231">
        <f>InpR!L$70</f>
        <v>107.6</v>
      </c>
      <c r="M97" s="231">
        <f>InpR!M$70</f>
        <v>108.6</v>
      </c>
      <c r="N97" s="231">
        <f>InpR!N$70</f>
        <v>110.4</v>
      </c>
      <c r="O97" s="231">
        <f>InpR!O$70</f>
        <v>119</v>
      </c>
      <c r="P97" s="231">
        <f>InpR!P$70</f>
        <v>128.30000000000001</v>
      </c>
      <c r="Q97" s="231">
        <f>InpR!Q$70</f>
        <v>131.50749999999999</v>
      </c>
      <c r="R97" s="231">
        <f>InpR!R$70</f>
        <v>0</v>
      </c>
    </row>
    <row r="98" spans="1:18" s="65" customFormat="1" x14ac:dyDescent="0.25">
      <c r="A98" s="50"/>
      <c r="B98" s="61"/>
      <c r="C98" s="116"/>
      <c r="D98" s="53"/>
      <c r="E98" s="231" t="str">
        <f>InpR!E$71</f>
        <v>CPI(H): May - index - actual (including forecast)</v>
      </c>
      <c r="F98" s="231"/>
      <c r="G98" s="231" t="str">
        <f>InpR!G$71</f>
        <v>index</v>
      </c>
      <c r="H98" s="231" t="str">
        <f>InpR!I$71</f>
        <v>ONS, CPIH INDEX 00: ALL ITEMS 2015=100</v>
      </c>
      <c r="I98" s="231" t="e">
        <f>InpR!#REF!</f>
        <v>#REF!</v>
      </c>
      <c r="J98" s="231">
        <f>InpR!J$71</f>
        <v>103.5</v>
      </c>
      <c r="K98" s="231">
        <f>InpR!K$71</f>
        <v>105.9</v>
      </c>
      <c r="L98" s="231">
        <f>InpR!L$71</f>
        <v>107.9</v>
      </c>
      <c r="M98" s="231">
        <f>InpR!M$71</f>
        <v>108.6</v>
      </c>
      <c r="N98" s="231">
        <f>InpR!N$71</f>
        <v>111</v>
      </c>
      <c r="O98" s="231">
        <f>InpR!O$71</f>
        <v>119.7</v>
      </c>
      <c r="P98" s="231">
        <f>InpR!P$71</f>
        <v>128.67750000000001</v>
      </c>
      <c r="Q98" s="231">
        <f>InpR!Q$71</f>
        <v>131.89443750000001</v>
      </c>
      <c r="R98" s="231">
        <f>InpR!R$71</f>
        <v>0</v>
      </c>
    </row>
    <row r="99" spans="1:18" s="65" customFormat="1" x14ac:dyDescent="0.25">
      <c r="A99" s="50"/>
      <c r="B99" s="61"/>
      <c r="C99" s="116"/>
      <c r="D99" s="53"/>
      <c r="E99" s="231" t="str">
        <f>InpR!E$72</f>
        <v>CPI(H): June - index - actual (including forecast)</v>
      </c>
      <c r="F99" s="231"/>
      <c r="G99" s="231" t="str">
        <f>InpR!G$72</f>
        <v>index</v>
      </c>
      <c r="H99" s="231" t="str">
        <f>InpR!I$72</f>
        <v>ONS, CPIH INDEX 00: ALL ITEMS 2015=100</v>
      </c>
      <c r="I99" s="231" t="e">
        <f>InpR!#REF!</f>
        <v>#REF!</v>
      </c>
      <c r="J99" s="231">
        <f>InpR!J$72</f>
        <v>103.5</v>
      </c>
      <c r="K99" s="231">
        <f>InpR!K$72</f>
        <v>105.9</v>
      </c>
      <c r="L99" s="231">
        <f>InpR!L$72</f>
        <v>107.9</v>
      </c>
      <c r="M99" s="231">
        <f>InpR!M$72</f>
        <v>108.8</v>
      </c>
      <c r="N99" s="231">
        <f>InpR!N$72</f>
        <v>111.4</v>
      </c>
      <c r="O99" s="231">
        <f>InpR!O$72</f>
        <v>120.5</v>
      </c>
      <c r="P99" s="231">
        <f>InpR!P$72</f>
        <v>128.935</v>
      </c>
      <c r="Q99" s="231">
        <f>InpR!Q$72</f>
        <v>132.15837499999998</v>
      </c>
      <c r="R99" s="231">
        <f>InpR!R$72</f>
        <v>0</v>
      </c>
    </row>
    <row r="100" spans="1:18" s="65" customFormat="1" x14ac:dyDescent="0.25">
      <c r="A100" s="50"/>
      <c r="B100" s="61"/>
      <c r="C100" s="116"/>
      <c r="D100" s="53"/>
      <c r="E100" s="231" t="str">
        <f>InpR!E$73</f>
        <v>CPI(H): July - index - actual (including forecast)</v>
      </c>
      <c r="F100" s="231"/>
      <c r="G100" s="231" t="str">
        <f>InpR!G$73</f>
        <v>index</v>
      </c>
      <c r="H100" s="231" t="str">
        <f>InpR!I$73</f>
        <v>ONS, CPIH INDEX 00: ALL ITEMS 2015=100</v>
      </c>
      <c r="I100" s="231" t="e">
        <f>InpR!#REF!</f>
        <v>#REF!</v>
      </c>
      <c r="J100" s="231">
        <f>InpR!J$73</f>
        <v>103.5</v>
      </c>
      <c r="K100" s="231">
        <f>InpR!K$73</f>
        <v>105.9</v>
      </c>
      <c r="L100" s="231">
        <f>InpR!L$73</f>
        <v>108</v>
      </c>
      <c r="M100" s="231">
        <f>InpR!M$73</f>
        <v>109.2</v>
      </c>
      <c r="N100" s="231">
        <f>InpR!N$73</f>
        <v>111.4</v>
      </c>
      <c r="O100" s="231">
        <f>InpR!O$73</f>
        <v>121.2</v>
      </c>
      <c r="P100" s="231">
        <f>InpR!P$73</f>
        <v>128.47200000000001</v>
      </c>
      <c r="Q100" s="231">
        <f>InpR!Q$73</f>
        <v>131.68379999999999</v>
      </c>
      <c r="R100" s="231">
        <f>InpR!R$73</f>
        <v>0</v>
      </c>
    </row>
    <row r="101" spans="1:18" s="65" customFormat="1" x14ac:dyDescent="0.25">
      <c r="A101" s="50"/>
      <c r="B101" s="61"/>
      <c r="C101" s="116"/>
      <c r="D101" s="53"/>
      <c r="E101" s="231" t="str">
        <f>InpR!E$74</f>
        <v>CPI(H): August - index - actual (including forecast)</v>
      </c>
      <c r="F101" s="231"/>
      <c r="G101" s="231" t="str">
        <f>InpR!G$74</f>
        <v>index</v>
      </c>
      <c r="H101" s="231" t="str">
        <f>InpR!I$74</f>
        <v>ONS, CPIH INDEX 00: ALL ITEMS 2015=100</v>
      </c>
      <c r="I101" s="231" t="e">
        <f>InpR!#REF!</f>
        <v>#REF!</v>
      </c>
      <c r="J101" s="231">
        <f>InpR!J$74</f>
        <v>104</v>
      </c>
      <c r="K101" s="231">
        <f>InpR!K$74</f>
        <v>106.5</v>
      </c>
      <c r="L101" s="231">
        <f>InpR!L$74</f>
        <v>108.3</v>
      </c>
      <c r="M101" s="231">
        <f>InpR!M$74</f>
        <v>108.8</v>
      </c>
      <c r="N101" s="231">
        <f>InpR!N$74</f>
        <v>112.1</v>
      </c>
      <c r="O101" s="231">
        <f>InpR!O$74</f>
        <v>121.8</v>
      </c>
      <c r="P101" s="231">
        <f>InpR!P$74</f>
        <v>129.108</v>
      </c>
      <c r="Q101" s="231">
        <f>InpR!Q$74</f>
        <v>132.3357</v>
      </c>
      <c r="R101" s="231">
        <f>InpR!R$74</f>
        <v>0</v>
      </c>
    </row>
    <row r="102" spans="1:18" s="65" customFormat="1" x14ac:dyDescent="0.25">
      <c r="A102" s="50"/>
      <c r="B102" s="61"/>
      <c r="C102" s="116"/>
      <c r="D102" s="53"/>
      <c r="E102" s="231" t="str">
        <f>InpR!E$75</f>
        <v>CPI(H): September - index - actual (including forecast)</v>
      </c>
      <c r="F102" s="231"/>
      <c r="G102" s="231" t="str">
        <f>InpR!G$75</f>
        <v>index</v>
      </c>
      <c r="H102" s="231" t="str">
        <f>InpR!I$75</f>
        <v>ONS, CPIH INDEX 00: ALL ITEMS 2015=100</v>
      </c>
      <c r="I102" s="231" t="e">
        <f>InpR!#REF!</f>
        <v>#REF!</v>
      </c>
      <c r="J102" s="231">
        <f>InpR!J$75</f>
        <v>104.3</v>
      </c>
      <c r="K102" s="231">
        <f>InpR!K$75</f>
        <v>106.6</v>
      </c>
      <c r="L102" s="231">
        <f>InpR!L$75</f>
        <v>108.4</v>
      </c>
      <c r="M102" s="231">
        <f>InpR!M$75</f>
        <v>109.2</v>
      </c>
      <c r="N102" s="231">
        <f>InpR!N$75</f>
        <v>112.4</v>
      </c>
      <c r="O102" s="231">
        <f>InpR!O$75</f>
        <v>122.3</v>
      </c>
      <c r="P102" s="231">
        <f>InpR!P$75</f>
        <v>129.0265</v>
      </c>
      <c r="Q102" s="231">
        <f>InpR!Q$75</f>
        <v>132.2521625</v>
      </c>
      <c r="R102" s="231">
        <f>InpR!R$75</f>
        <v>0</v>
      </c>
    </row>
    <row r="103" spans="1:18" s="65" customFormat="1" x14ac:dyDescent="0.25">
      <c r="A103" s="50"/>
      <c r="B103" s="61"/>
      <c r="C103" s="116"/>
      <c r="D103" s="53"/>
      <c r="E103" s="231" t="str">
        <f>InpR!E$76</f>
        <v>CPI(H): October - index - actual (including forecast)</v>
      </c>
      <c r="F103" s="231"/>
      <c r="G103" s="231" t="str">
        <f>InpR!G$76</f>
        <v>index</v>
      </c>
      <c r="H103" s="231" t="str">
        <f>InpR!I$76</f>
        <v>ONS, CPIH INDEX 00: ALL ITEMS 2015=100</v>
      </c>
      <c r="I103" s="231" t="e">
        <f>InpR!#REF!</f>
        <v>#REF!</v>
      </c>
      <c r="J103" s="231">
        <f>InpR!J$76</f>
        <v>104.4</v>
      </c>
      <c r="K103" s="231">
        <f>InpR!K$76</f>
        <v>106.7</v>
      </c>
      <c r="L103" s="231">
        <f>InpR!L$76</f>
        <v>108.3</v>
      </c>
      <c r="M103" s="231">
        <f>InpR!M$76</f>
        <v>109.2</v>
      </c>
      <c r="N103" s="231">
        <f>InpR!N$76</f>
        <v>113.4</v>
      </c>
      <c r="O103" s="231">
        <f>InpR!O$76</f>
        <v>124.3</v>
      </c>
      <c r="P103" s="231">
        <f>InpR!P$76</f>
        <v>129.89349999999999</v>
      </c>
      <c r="Q103" s="231">
        <f>InpR!Q$76</f>
        <v>133.14083749999998</v>
      </c>
      <c r="R103" s="231">
        <f>InpR!R$76</f>
        <v>0</v>
      </c>
    </row>
    <row r="104" spans="1:18" s="65" customFormat="1" x14ac:dyDescent="0.25">
      <c r="A104" s="50"/>
      <c r="B104" s="61"/>
      <c r="C104" s="116"/>
      <c r="D104" s="53"/>
      <c r="E104" s="231" t="str">
        <f>InpR!E$77</f>
        <v>CPI(H): November - index - actual (including forecast)</v>
      </c>
      <c r="F104" s="231"/>
      <c r="G104" s="231" t="str">
        <f>InpR!G$77</f>
        <v>index</v>
      </c>
      <c r="H104" s="231" t="str">
        <f>InpR!I$77</f>
        <v>ONS, CPIH INDEX 00: ALL ITEMS 2015=100</v>
      </c>
      <c r="I104" s="231" t="e">
        <f>InpR!#REF!</f>
        <v>#REF!</v>
      </c>
      <c r="J104" s="231">
        <f>InpR!J$77</f>
        <v>104.7</v>
      </c>
      <c r="K104" s="231">
        <f>InpR!K$77</f>
        <v>106.9</v>
      </c>
      <c r="L104" s="231">
        <f>InpR!L$77</f>
        <v>108.5</v>
      </c>
      <c r="M104" s="231">
        <f>InpR!M$77</f>
        <v>109.1</v>
      </c>
      <c r="N104" s="231">
        <f>InpR!N$77</f>
        <v>114.1</v>
      </c>
      <c r="O104" s="231">
        <f>InpR!O$77</f>
        <v>124.8</v>
      </c>
      <c r="P104" s="231">
        <f>InpR!P$77</f>
        <v>129.792</v>
      </c>
      <c r="Q104" s="231">
        <f>InpR!Q$77</f>
        <v>133.0368</v>
      </c>
      <c r="R104" s="231">
        <f>InpR!R$77</f>
        <v>0</v>
      </c>
    </row>
    <row r="105" spans="1:18" s="65" customFormat="1" x14ac:dyDescent="0.25">
      <c r="A105" s="50"/>
      <c r="B105" s="61"/>
      <c r="C105" s="116"/>
      <c r="D105" s="53"/>
      <c r="E105" s="231" t="str">
        <f>InpR!E$78</f>
        <v>CPI(H): December - index - actual (including forecast)</v>
      </c>
      <c r="F105" s="231"/>
      <c r="G105" s="231" t="str">
        <f>InpR!G$78</f>
        <v>index</v>
      </c>
      <c r="H105" s="231" t="str">
        <f>InpR!I$78</f>
        <v>ONS, CPIH INDEX 00: ALL ITEMS 2015=100</v>
      </c>
      <c r="I105" s="231" t="e">
        <f>InpR!#REF!</f>
        <v>#REF!</v>
      </c>
      <c r="J105" s="231">
        <f>InpR!J$78</f>
        <v>105</v>
      </c>
      <c r="K105" s="231">
        <f>InpR!K$78</f>
        <v>107.1</v>
      </c>
      <c r="L105" s="231">
        <f>InpR!L$78</f>
        <v>108.5</v>
      </c>
      <c r="M105" s="231">
        <f>InpR!M$78</f>
        <v>109.4</v>
      </c>
      <c r="N105" s="231">
        <f>InpR!N$78</f>
        <v>114.7</v>
      </c>
      <c r="O105" s="231">
        <f>InpR!O$78</f>
        <v>125.3</v>
      </c>
      <c r="P105" s="231">
        <f>InpR!P$78</f>
        <v>130.31200000000001</v>
      </c>
      <c r="Q105" s="231">
        <f>InpR!Q$78</f>
        <v>133.56979999999999</v>
      </c>
      <c r="R105" s="231">
        <f>InpR!R$78</f>
        <v>0</v>
      </c>
    </row>
    <row r="106" spans="1:18" s="65" customFormat="1" x14ac:dyDescent="0.25">
      <c r="A106" s="50"/>
      <c r="B106" s="61"/>
      <c r="C106" s="116"/>
      <c r="D106" s="53"/>
      <c r="E106" s="231" t="str">
        <f>InpR!E$79</f>
        <v>CPI(H): January - index - actual (including forecast)</v>
      </c>
      <c r="F106" s="231"/>
      <c r="G106" s="231" t="str">
        <f>InpR!G$79</f>
        <v>index</v>
      </c>
      <c r="H106" s="231" t="str">
        <f>InpR!I$79</f>
        <v>ONS, CPIH INDEX 00: ALL ITEMS 2015=100</v>
      </c>
      <c r="I106" s="231" t="e">
        <f>InpR!#REF!</f>
        <v>#REF!</v>
      </c>
      <c r="J106" s="231">
        <f>InpR!J$79</f>
        <v>104.5</v>
      </c>
      <c r="K106" s="231">
        <f>InpR!K$79</f>
        <v>106.4</v>
      </c>
      <c r="L106" s="231">
        <f>InpR!L$79</f>
        <v>108.3</v>
      </c>
      <c r="M106" s="231">
        <f>InpR!M$79</f>
        <v>109.3</v>
      </c>
      <c r="N106" s="231">
        <f>InpR!N$79</f>
        <v>114.6</v>
      </c>
      <c r="O106" s="231">
        <f>InpR!O$79</f>
        <v>124.8</v>
      </c>
      <c r="P106" s="231">
        <f>InpR!P$79</f>
        <v>129.792</v>
      </c>
      <c r="Q106" s="231">
        <f>InpR!Q$79</f>
        <v>132.38784000000001</v>
      </c>
      <c r="R106" s="231">
        <f>InpR!R$79</f>
        <v>0</v>
      </c>
    </row>
    <row r="107" spans="1:18" s="65" customFormat="1" x14ac:dyDescent="0.25">
      <c r="A107" s="50"/>
      <c r="B107" s="61"/>
      <c r="C107" s="116"/>
      <c r="D107" s="53"/>
      <c r="E107" s="231" t="str">
        <f>InpR!E$80</f>
        <v>CPI(H): February - index - actual (including forecast)</v>
      </c>
      <c r="F107" s="231"/>
      <c r="G107" s="231" t="str">
        <f>InpR!G$80</f>
        <v>index</v>
      </c>
      <c r="H107" s="231" t="str">
        <f>InpR!I$80</f>
        <v>ONS, CPIH INDEX 00: ALL ITEMS 2015=100</v>
      </c>
      <c r="I107" s="231" t="e">
        <f>InpR!#REF!</f>
        <v>#REF!</v>
      </c>
      <c r="J107" s="231">
        <f>InpR!J$80</f>
        <v>104.9</v>
      </c>
      <c r="K107" s="231">
        <f>InpR!K$80</f>
        <v>106.8</v>
      </c>
      <c r="L107" s="231">
        <f>InpR!L$80</f>
        <v>108.6</v>
      </c>
      <c r="M107" s="231">
        <f>InpR!M$80</f>
        <v>109.4</v>
      </c>
      <c r="N107" s="231">
        <f>InpR!N$80</f>
        <v>115.4</v>
      </c>
      <c r="O107" s="231">
        <f>InpR!O$80</f>
        <v>126</v>
      </c>
      <c r="P107" s="231">
        <f>InpR!P$80</f>
        <v>130.41</v>
      </c>
      <c r="Q107" s="231">
        <f>InpR!Q$80</f>
        <v>133.01820000000001</v>
      </c>
      <c r="R107" s="231">
        <f>InpR!R$80</f>
        <v>0</v>
      </c>
    </row>
    <row r="108" spans="1:18" s="65" customFormat="1" x14ac:dyDescent="0.25">
      <c r="A108" s="50"/>
      <c r="B108" s="61"/>
      <c r="C108" s="116"/>
      <c r="D108" s="53"/>
      <c r="E108" s="231" t="str">
        <f>InpR!E$81</f>
        <v>CPI(H): March - index - actual (including forecast)</v>
      </c>
      <c r="F108" s="231"/>
      <c r="G108" s="231" t="str">
        <f>InpR!G$81</f>
        <v>index</v>
      </c>
      <c r="H108" s="231" t="str">
        <f>InpR!I$81</f>
        <v>ONS, CPIH INDEX 00: ALL ITEMS 2015=100</v>
      </c>
      <c r="I108" s="231" t="e">
        <f>InpR!#REF!</f>
        <v>#REF!</v>
      </c>
      <c r="J108" s="231">
        <f>InpR!J$81</f>
        <v>105.1</v>
      </c>
      <c r="K108" s="231">
        <f>InpR!K$81</f>
        <v>107</v>
      </c>
      <c r="L108" s="231">
        <f>InpR!L$81</f>
        <v>108.6</v>
      </c>
      <c r="M108" s="231">
        <f>InpR!M$81</f>
        <v>109.7</v>
      </c>
      <c r="N108" s="231">
        <f>InpR!N$81</f>
        <v>116.5</v>
      </c>
      <c r="O108" s="231">
        <f>InpR!O$81</f>
        <v>126.8</v>
      </c>
      <c r="P108" s="231">
        <f>InpR!P$81</f>
        <v>130.60400000000001</v>
      </c>
      <c r="Q108" s="231">
        <f>InpR!Q$81</f>
        <v>133.21608000000001</v>
      </c>
      <c r="R108" s="231">
        <f>InpR!R$81</f>
        <v>0</v>
      </c>
    </row>
    <row r="109" spans="1:18" s="65" customFormat="1" x14ac:dyDescent="0.25">
      <c r="A109" s="48"/>
      <c r="B109" s="59"/>
      <c r="C109" s="108"/>
      <c r="D109" s="53"/>
      <c r="E109" s="93"/>
      <c r="G109" s="37"/>
    </row>
    <row r="110" spans="1:18" s="65" customFormat="1" x14ac:dyDescent="0.25">
      <c r="A110" s="50"/>
      <c r="B110" s="61"/>
      <c r="C110" s="116"/>
      <c r="D110" s="55"/>
      <c r="E110" s="91" t="s">
        <v>251</v>
      </c>
      <c r="F110" s="91"/>
      <c r="G110" s="91" t="s">
        <v>188</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129.44354166666668</v>
      </c>
      <c r="Q110" s="230">
        <f t="shared" si="35"/>
        <v>132.51679437499999</v>
      </c>
      <c r="R110" s="230">
        <f t="shared" si="35"/>
        <v>0</v>
      </c>
    </row>
    <row r="111" spans="1:18" s="65" customFormat="1" x14ac:dyDescent="0.25">
      <c r="A111" s="50"/>
      <c r="B111" s="61"/>
      <c r="C111" s="116"/>
      <c r="D111" s="55"/>
      <c r="E111" s="91" t="s">
        <v>252</v>
      </c>
      <c r="F111" s="91"/>
      <c r="G111" s="91" t="s">
        <v>94</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1.2420618103310412</v>
      </c>
      <c r="Q111" s="232">
        <f t="shared" si="36"/>
        <v>1.2715508815768433</v>
      </c>
      <c r="R111" s="232">
        <f t="shared" si="36"/>
        <v>0</v>
      </c>
    </row>
    <row r="112" spans="1:18" s="65" customFormat="1" x14ac:dyDescent="0.25">
      <c r="A112" s="50"/>
      <c r="B112" s="61"/>
      <c r="C112" s="116"/>
      <c r="D112" s="55"/>
      <c r="E112" s="91" t="s">
        <v>253</v>
      </c>
      <c r="F112" s="7"/>
      <c r="G112" s="91" t="s">
        <v>94</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5.2030138841856033E-2</v>
      </c>
      <c r="Q112" s="232">
        <f t="shared" si="37"/>
        <v>2.3742031999150148E-2</v>
      </c>
      <c r="R112" s="232">
        <f t="shared" si="37"/>
        <v>-1</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H114" si="38">G$108</f>
        <v>index</v>
      </c>
      <c r="H114" s="91" t="str">
        <f t="shared" si="38"/>
        <v>ONS, CPIH INDEX 00: ALL ITEMS 2015=100</v>
      </c>
      <c r="I114" s="91"/>
      <c r="J114" s="91">
        <f t="shared" ref="J114:R114" si="39">J$108</f>
        <v>105.1</v>
      </c>
      <c r="K114" s="91">
        <f t="shared" si="39"/>
        <v>107</v>
      </c>
      <c r="L114" s="91">
        <f t="shared" si="39"/>
        <v>108.6</v>
      </c>
      <c r="M114" s="91">
        <f t="shared" si="39"/>
        <v>109.7</v>
      </c>
      <c r="N114" s="91">
        <f t="shared" si="39"/>
        <v>116.5</v>
      </c>
      <c r="O114" s="91">
        <f t="shared" si="39"/>
        <v>126.8</v>
      </c>
      <c r="P114" s="91">
        <f t="shared" si="39"/>
        <v>130.60400000000001</v>
      </c>
      <c r="Q114" s="91">
        <f t="shared" si="39"/>
        <v>133.21608000000001</v>
      </c>
      <c r="R114" s="91">
        <f t="shared" si="39"/>
        <v>0</v>
      </c>
    </row>
    <row r="115" spans="1:18" s="65" customFormat="1" x14ac:dyDescent="0.25">
      <c r="A115" s="50"/>
      <c r="B115" s="61"/>
      <c r="C115" s="116"/>
      <c r="D115" s="55"/>
      <c r="E115" s="91" t="str">
        <f>E$110</f>
        <v>CPI(H): Financial year average - index - actual (including forecast)</v>
      </c>
      <c r="F115" s="91"/>
      <c r="G115" s="91" t="str">
        <f t="shared" ref="G115:H115" si="40">G$110</f>
        <v>index</v>
      </c>
      <c r="H115" s="91">
        <f t="shared" si="40"/>
        <v>0</v>
      </c>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129.44354166666668</v>
      </c>
      <c r="Q115" s="91">
        <f t="shared" si="41"/>
        <v>132.51679437499999</v>
      </c>
      <c r="R115" s="91">
        <f t="shared" si="41"/>
        <v>0</v>
      </c>
    </row>
    <row r="116" spans="1:18" s="65" customFormat="1"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254</v>
      </c>
      <c r="F117" s="7"/>
      <c r="G117" s="91" t="s">
        <v>94</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255</v>
      </c>
      <c r="F121" s="7"/>
      <c r="G121" s="91" t="s">
        <v>94</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244</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f t="shared" si="52"/>
        <v>0</v>
      </c>
      <c r="I124" s="168">
        <f t="shared" si="52"/>
        <v>0</v>
      </c>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f t="shared" si="53"/>
        <v>0</v>
      </c>
      <c r="I125" s="168">
        <f t="shared" si="53"/>
        <v>0</v>
      </c>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5.2030138841856033E-2</v>
      </c>
      <c r="Q125" s="232">
        <f t="shared" si="53"/>
        <v>2.3742031999150148E-2</v>
      </c>
      <c r="R125" s="232">
        <f t="shared" si="53"/>
        <v>-1</v>
      </c>
    </row>
    <row r="126" spans="1:18" s="65" customFormat="1"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256</v>
      </c>
      <c r="F127" s="168"/>
      <c r="G127" s="168" t="s">
        <v>94</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f t="shared" si="55"/>
        <v>0</v>
      </c>
      <c r="I129" s="168">
        <f t="shared" si="55"/>
        <v>0</v>
      </c>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7.8413965738148406E-2</v>
      </c>
      <c r="Q130" s="235">
        <f t="shared" si="56"/>
        <v>3.7875450473022099E-2</v>
      </c>
      <c r="R130" s="235">
        <f t="shared" si="56"/>
        <v>-1</v>
      </c>
    </row>
    <row r="131" spans="1:18" s="65" customFormat="1" x14ac:dyDescent="0.25">
      <c r="A131" s="50"/>
      <c r="B131" s="61"/>
      <c r="C131" s="116"/>
      <c r="D131" s="55"/>
      <c r="E131" s="168" t="s">
        <v>257</v>
      </c>
      <c r="F131" s="168"/>
      <c r="G131" s="168" t="s">
        <v>94</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7.8413965738148406E-2</v>
      </c>
      <c r="Q131" s="236">
        <f t="shared" si="57"/>
        <v>3.7875450473022099E-2</v>
      </c>
      <c r="R131" s="236">
        <f t="shared" si="57"/>
        <v>-1</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f t="shared" si="58"/>
        <v>0</v>
      </c>
      <c r="I133" s="168">
        <f t="shared" si="58"/>
        <v>0</v>
      </c>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7.8413965738148406E-2</v>
      </c>
      <c r="Q133" s="235">
        <f t="shared" si="58"/>
        <v>3.7875450473022099E-2</v>
      </c>
      <c r="R133" s="235">
        <f t="shared" si="58"/>
        <v>-1</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f t="shared" si="59"/>
        <v>0</v>
      </c>
      <c r="I134" s="168">
        <f t="shared" si="59"/>
        <v>0</v>
      </c>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5.2030138841856033E-2</v>
      </c>
      <c r="Q134" s="235">
        <f t="shared" si="59"/>
        <v>2.3742031999150148E-2</v>
      </c>
      <c r="R134" s="235">
        <f t="shared" si="59"/>
        <v>-1</v>
      </c>
    </row>
    <row r="135" spans="1:18" s="65" customFormat="1" x14ac:dyDescent="0.25">
      <c r="A135" s="50"/>
      <c r="B135" s="61"/>
      <c r="C135" s="116"/>
      <c r="D135" s="55"/>
      <c r="E135" s="237" t="s">
        <v>258</v>
      </c>
      <c r="F135" s="237"/>
      <c r="G135" s="237" t="s">
        <v>94</v>
      </c>
      <c r="H135" s="237"/>
      <c r="I135" s="237">
        <f>I$167</f>
        <v>0</v>
      </c>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2.6383826896292373E-2</v>
      </c>
      <c r="Q135" s="238">
        <f t="shared" si="60"/>
        <v>1.413341847387195E-2</v>
      </c>
      <c r="R135" s="238">
        <f t="shared" si="60"/>
        <v>0</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x14ac:dyDescent="0.25">
      <c r="A138" s="10" t="s">
        <v>62</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101.67373439267088</v>
      </c>
      <c r="N22" s="241">
        <f t="shared" si="3"/>
        <v>99.903701667433353</v>
      </c>
      <c r="O22" s="241">
        <f t="shared" si="3"/>
        <v>98.675265964198502</v>
      </c>
      <c r="P22" s="241">
        <f t="shared" si="3"/>
        <v>97.643309358107132</v>
      </c>
      <c r="Q22" s="241">
        <f t="shared" si="3"/>
        <v>96.668635628877041</v>
      </c>
      <c r="R22" s="241">
        <f t="shared" si="3"/>
        <v>95.703691074996385</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2.4664107534332511</v>
      </c>
      <c r="N24" s="184">
        <f t="shared" si="5"/>
        <v>2.9559156273265366</v>
      </c>
      <c r="O24" s="184">
        <f t="shared" si="5"/>
        <v>3.1086343255941169</v>
      </c>
      <c r="P24" s="184">
        <f t="shared" si="5"/>
        <v>3.1245858994594959</v>
      </c>
      <c r="Q24" s="184">
        <f t="shared" si="5"/>
        <v>3.0933963401240465</v>
      </c>
      <c r="R24" s="184">
        <f t="shared" si="5"/>
        <v>2.871110732249873</v>
      </c>
      <c r="S24" s="92"/>
      <c r="T24" s="92"/>
      <c r="U24" s="92"/>
      <c r="V24" s="92"/>
      <c r="W24" s="92"/>
      <c r="X24" s="92"/>
      <c r="Y24" s="92"/>
      <c r="Z24" s="92"/>
    </row>
    <row r="26" spans="1:16383" s="205" customFormat="1" x14ac:dyDescent="0.25">
      <c r="A26" s="201"/>
      <c r="B26" s="202"/>
      <c r="C26" s="203"/>
      <c r="D26" s="204"/>
      <c r="E26" s="37" t="str">
        <f xml:space="preserve"> InpR!E$94</f>
        <v>Run-off rate - CPI(H) + RPI wedge - active - WR</v>
      </c>
      <c r="F26" s="205">
        <f xml:space="preserve"> InpR!F$94</f>
        <v>0</v>
      </c>
      <c r="G26" s="223" t="str">
        <f xml:space="preserve"> InpR!G$94</f>
        <v>%</v>
      </c>
      <c r="H26" s="205" t="str">
        <f xml:space="preserve"> InpR!I$94</f>
        <v>PR19 Financial model, 'F_OutputsMaster' sheet row 953, PR19FM2090POST</v>
      </c>
      <c r="I26" s="205" t="e">
        <f xml:space="preserve"> InpR!#REF!</f>
        <v>#REF!</v>
      </c>
      <c r="J26" s="205">
        <f xml:space="preserve"> InpR!J$94</f>
        <v>0</v>
      </c>
      <c r="K26" s="205">
        <f xml:space="preserve"> InpR!K$94</f>
        <v>0</v>
      </c>
      <c r="L26" s="205">
        <f xml:space="preserve"> InpR!L$94</f>
        <v>0</v>
      </c>
      <c r="M26" s="205">
        <f xml:space="preserve"> InpR!M$94</f>
        <v>4.0680214846322976E-2</v>
      </c>
      <c r="N26" s="205">
        <f xml:space="preserve"> InpR!N$94</f>
        <v>4.0680214846322976E-2</v>
      </c>
      <c r="O26" s="205">
        <f xml:space="preserve"> InpR!O$94</f>
        <v>4.0680214846322976E-2</v>
      </c>
      <c r="P26" s="205">
        <f xml:space="preserve"> InpR!P$94</f>
        <v>4.0680214846322976E-2</v>
      </c>
      <c r="Q26" s="205">
        <f xml:space="preserve"> InpR!Q$94</f>
        <v>4.0680214846322976E-2</v>
      </c>
      <c r="R26" s="205">
        <f xml:space="preserve"> InpR!R$94</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101.67373439267088</v>
      </c>
      <c r="N27" s="241">
        <f t="shared" si="6"/>
        <v>99.903701667433353</v>
      </c>
      <c r="O27" s="241">
        <f t="shared" si="6"/>
        <v>98.675265964198502</v>
      </c>
      <c r="P27" s="241">
        <f t="shared" si="6"/>
        <v>97.643309358107132</v>
      </c>
      <c r="Q27" s="241">
        <f t="shared" si="6"/>
        <v>96.668635628877041</v>
      </c>
      <c r="R27" s="241">
        <f t="shared" si="6"/>
        <v>95.703691074996385</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2.4664107534332511</v>
      </c>
      <c r="N28" s="184">
        <f t="shared" si="7"/>
        <v>2.9559156273265366</v>
      </c>
      <c r="O28" s="184">
        <f t="shared" si="7"/>
        <v>3.1086343255941169</v>
      </c>
      <c r="P28" s="184">
        <f t="shared" si="7"/>
        <v>3.1245858994594959</v>
      </c>
      <c r="Q28" s="184">
        <f t="shared" si="7"/>
        <v>3.0933963401240465</v>
      </c>
      <c r="R28" s="184">
        <f t="shared" si="7"/>
        <v>2.871110732249873</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4.2364434786707745</v>
      </c>
      <c r="N29" s="184">
        <f t="shared" si="8"/>
        <v>4.1843513305613911</v>
      </c>
      <c r="O29" s="184">
        <f t="shared" si="8"/>
        <v>4.1405909316854785</v>
      </c>
      <c r="P29" s="184">
        <f t="shared" si="8"/>
        <v>4.0992596286895804</v>
      </c>
      <c r="Q29" s="184">
        <f t="shared" si="8"/>
        <v>4.0583408940047052</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InpR!$E$87</f>
        <v>RCV - CPI(H) + RPI wedge initial balance - nominal - WR</v>
      </c>
      <c r="F31" s="250">
        <f>InpR!$F$87</f>
        <v>101.67373439267088</v>
      </c>
      <c r="G31" s="200" t="str">
        <f>InpR!$G$87</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101.67373439267088</v>
      </c>
      <c r="N34" s="242">
        <f t="shared" si="9"/>
        <v>99.903701667433353</v>
      </c>
      <c r="O34" s="242">
        <f t="shared" si="9"/>
        <v>98.675265964198502</v>
      </c>
      <c r="P34" s="242">
        <f t="shared" si="9"/>
        <v>97.643309358107132</v>
      </c>
      <c r="Q34" s="242">
        <f t="shared" si="9"/>
        <v>96.668635628877041</v>
      </c>
      <c r="R34" s="242">
        <f t="shared" si="9"/>
        <v>95.703691074996385</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2.4664107534332511</v>
      </c>
      <c r="N35" s="242">
        <f t="shared" si="10"/>
        <v>2.9559156273265366</v>
      </c>
      <c r="O35" s="242">
        <f t="shared" si="10"/>
        <v>3.1086343255941169</v>
      </c>
      <c r="P35" s="242">
        <f t="shared" si="10"/>
        <v>3.1245858994594959</v>
      </c>
      <c r="Q35" s="242">
        <f t="shared" si="10"/>
        <v>3.0933963401240465</v>
      </c>
      <c r="R35" s="242">
        <f t="shared" si="10"/>
        <v>2.871110732249873</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4.2364434786707745</v>
      </c>
      <c r="N36" s="242">
        <f t="shared" si="11"/>
        <v>4.1843513305613911</v>
      </c>
      <c r="O36" s="242">
        <f t="shared" si="11"/>
        <v>4.1405909316854785</v>
      </c>
      <c r="P36" s="242">
        <f t="shared" si="11"/>
        <v>4.0992596286895804</v>
      </c>
      <c r="Q36" s="242">
        <f t="shared" si="11"/>
        <v>4.0583408940047052</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101.67373439267088</v>
      </c>
      <c r="M37" s="243">
        <f t="shared" si="12"/>
        <v>99.903701667433353</v>
      </c>
      <c r="N37" s="243">
        <f t="shared" si="12"/>
        <v>98.675265964198502</v>
      </c>
      <c r="O37" s="243">
        <f t="shared" si="12"/>
        <v>97.643309358107132</v>
      </c>
      <c r="P37" s="243">
        <f t="shared" si="12"/>
        <v>96.668635628877041</v>
      </c>
      <c r="Q37" s="243">
        <f t="shared" si="12"/>
        <v>95.703691074996385</v>
      </c>
      <c r="R37" s="243">
        <f t="shared" si="12"/>
        <v>98.57480180724626</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101.67373439267088</v>
      </c>
      <c r="N39" s="185">
        <f t="shared" si="13"/>
        <v>99.903701667433353</v>
      </c>
      <c r="O39" s="185">
        <f t="shared" si="13"/>
        <v>98.675265964198502</v>
      </c>
      <c r="P39" s="185">
        <f t="shared" si="13"/>
        <v>97.643309358107132</v>
      </c>
      <c r="Q39" s="185">
        <f t="shared" si="13"/>
        <v>96.668635628877041</v>
      </c>
      <c r="R39" s="185">
        <f t="shared" si="13"/>
        <v>95.703691074996385</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2.4664107534332511</v>
      </c>
      <c r="N40" s="242">
        <f t="shared" si="14"/>
        <v>2.9559156273265366</v>
      </c>
      <c r="O40" s="242">
        <f t="shared" si="14"/>
        <v>3.1086343255941169</v>
      </c>
      <c r="P40" s="242">
        <f t="shared" si="14"/>
        <v>3.1245858994594959</v>
      </c>
      <c r="Q40" s="242">
        <f t="shared" si="14"/>
        <v>3.0933963401240465</v>
      </c>
      <c r="R40" s="242">
        <f t="shared" si="14"/>
        <v>2.871110732249873</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101.67373439267088</v>
      </c>
      <c r="M41" s="185">
        <f t="shared" si="15"/>
        <v>99.903701667433353</v>
      </c>
      <c r="N41" s="185">
        <f t="shared" si="15"/>
        <v>98.675265964198502</v>
      </c>
      <c r="O41" s="185">
        <f t="shared" si="15"/>
        <v>97.643309358107132</v>
      </c>
      <c r="P41" s="185">
        <f t="shared" si="15"/>
        <v>96.668635628877041</v>
      </c>
      <c r="Q41" s="185">
        <f t="shared" si="15"/>
        <v>95.703691074996385</v>
      </c>
      <c r="R41" s="185">
        <f t="shared" si="15"/>
        <v>98.57480180724626</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50.83686719633544</v>
      </c>
      <c r="M42" s="185">
        <f xml:space="preserve"> ( (M39+M40) + M41) / 2</f>
        <v>102.02192340676874</v>
      </c>
      <c r="N42" s="185">
        <f t="shared" ref="N42:R42" si="17" xml:space="preserve"> ( (N39+N40) + N41) / 2</f>
        <v>100.76744162947919</v>
      </c>
      <c r="O42" s="185">
        <f t="shared" si="17"/>
        <v>99.713604823949879</v>
      </c>
      <c r="P42" s="185">
        <f t="shared" si="17"/>
        <v>98.718265443221838</v>
      </c>
      <c r="Q42" s="185">
        <f t="shared" si="17"/>
        <v>97.732861521998728</v>
      </c>
      <c r="R42" s="185">
        <f t="shared" si="17"/>
        <v>98.57480180724626</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InpR!E$101</f>
        <v>WACC on RCV - CPI(H) + RPI wedge bf and additions - WR</v>
      </c>
      <c r="F45" s="205">
        <f xml:space="preserve"> InpR!F$101</f>
        <v>0</v>
      </c>
      <c r="G45" s="223" t="str">
        <f xml:space="preserve"> InpR!G$101</f>
        <v>%</v>
      </c>
      <c r="H45" s="205" t="str">
        <f xml:space="preserve"> InpR!I$101</f>
        <v>PR19 Financial model, 'Water Resources' sheet row 980</v>
      </c>
      <c r="I45" s="205" t="e">
        <f xml:space="preserve"> InpR!#REF!</f>
        <v>#REF!</v>
      </c>
      <c r="J45" s="205">
        <f xml:space="preserve"> InpR!J$101</f>
        <v>0</v>
      </c>
      <c r="K45" s="205">
        <f xml:space="preserve"> InpR!K$101</f>
        <v>0</v>
      </c>
      <c r="L45" s="205">
        <f xml:space="preserve"> InpR!L$101</f>
        <v>0</v>
      </c>
      <c r="M45" s="205">
        <f xml:space="preserve"> InpR!M$101</f>
        <v>1.920357193840716E-2</v>
      </c>
      <c r="N45" s="205">
        <f xml:space="preserve"> InpR!N$101</f>
        <v>1.920357193840716E-2</v>
      </c>
      <c r="O45" s="205">
        <f xml:space="preserve"> InpR!O$101</f>
        <v>1.920357193840716E-2</v>
      </c>
      <c r="P45" s="205">
        <f xml:space="preserve"> InpR!P$101</f>
        <v>1.920357193840716E-2</v>
      </c>
      <c r="Q45" s="205">
        <f xml:space="preserve"> InpR!Q$101</f>
        <v>1.920357193840716E-2</v>
      </c>
      <c r="R45" s="205">
        <f xml:space="preserve"> InpR!R$101</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50.83686719633544</v>
      </c>
      <c r="M47" s="184">
        <f t="shared" si="18"/>
        <v>102.02192340676874</v>
      </c>
      <c r="N47" s="184">
        <f t="shared" si="18"/>
        <v>100.76744162947919</v>
      </c>
      <c r="O47" s="184">
        <f t="shared" si="18"/>
        <v>99.713604823949879</v>
      </c>
      <c r="P47" s="184">
        <f t="shared" si="18"/>
        <v>98.718265443221838</v>
      </c>
      <c r="Q47" s="184">
        <f t="shared" si="18"/>
        <v>97.732861521998728</v>
      </c>
      <c r="R47" s="184">
        <f t="shared" si="18"/>
        <v>98.57480180724626</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1.9591853454365487</v>
      </c>
      <c r="N48" s="184">
        <f t="shared" ref="N48:R48" si="20">N45*N47*N46</f>
        <v>1.9350948143809481</v>
      </c>
      <c r="O48" s="184">
        <f t="shared" si="20"/>
        <v>1.9148573834746248</v>
      </c>
      <c r="P48" s="184">
        <f t="shared" si="20"/>
        <v>1.8957433120736842</v>
      </c>
      <c r="Q48" s="184">
        <f t="shared" si="20"/>
        <v>1.8768200369840877</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4.2364434786707745</v>
      </c>
      <c r="N51" s="184">
        <f t="shared" si="21"/>
        <v>4.1843513305613911</v>
      </c>
      <c r="O51" s="184">
        <f t="shared" si="21"/>
        <v>4.1405909316854785</v>
      </c>
      <c r="P51" s="184">
        <f t="shared" si="21"/>
        <v>4.0992596286895804</v>
      </c>
      <c r="Q51" s="184">
        <f t="shared" si="21"/>
        <v>4.0583408940047052</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1.9591853454365487</v>
      </c>
      <c r="N52" s="184">
        <f t="shared" si="22"/>
        <v>1.9350948143809481</v>
      </c>
      <c r="O52" s="184">
        <f t="shared" si="22"/>
        <v>1.9148573834746248</v>
      </c>
      <c r="P52" s="184">
        <f t="shared" si="22"/>
        <v>1.8957433120736842</v>
      </c>
      <c r="Q52" s="184">
        <f t="shared" si="22"/>
        <v>1.8768200369840877</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30.300687155961821</v>
      </c>
      <c r="I53" s="184"/>
      <c r="J53" s="184">
        <f t="shared" ref="J53:R53" si="23">SUM(J51:J52)</f>
        <v>0</v>
      </c>
      <c r="K53" s="184">
        <f t="shared" si="23"/>
        <v>0</v>
      </c>
      <c r="L53" s="184">
        <f>SUM(L51:L52)</f>
        <v>0</v>
      </c>
      <c r="M53" s="185">
        <f t="shared" si="23"/>
        <v>6.195628824107323</v>
      </c>
      <c r="N53" s="185">
        <f t="shared" si="23"/>
        <v>6.119446144942339</v>
      </c>
      <c r="O53" s="184">
        <f t="shared" si="23"/>
        <v>6.0554483151601035</v>
      </c>
      <c r="P53" s="184">
        <f t="shared" si="23"/>
        <v>5.9950029407632641</v>
      </c>
      <c r="Q53" s="184">
        <f t="shared" si="23"/>
        <v>5.9351609309887934</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6.195628824107323</v>
      </c>
      <c r="N61" s="184">
        <f t="shared" si="24"/>
        <v>6.119446144942339</v>
      </c>
      <c r="O61" s="184">
        <f t="shared" si="24"/>
        <v>6.0554483151601035</v>
      </c>
      <c r="P61" s="184">
        <f t="shared" si="24"/>
        <v>5.9950029407632641</v>
      </c>
      <c r="Q61" s="184">
        <f t="shared" si="24"/>
        <v>5.9351609309887934</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2.6383826896292373E-2</v>
      </c>
      <c r="Q69" s="205">
        <f>Index!Q$135</f>
        <v>1.413341847387195E-2</v>
      </c>
      <c r="R69" s="205">
        <f>Index!R$135</f>
        <v>0</v>
      </c>
    </row>
    <row r="70" spans="1:16383" s="172" customFormat="1" x14ac:dyDescent="0.25">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4.7383826896292947E-2</v>
      </c>
      <c r="Q70" s="172">
        <f t="shared" si="26"/>
        <v>3.513341847387319E-2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101.67373439267088</v>
      </c>
      <c r="N73" s="241">
        <f t="shared" si="27"/>
        <v>99.538061179178385</v>
      </c>
      <c r="O73" s="241">
        <f t="shared" si="27"/>
        <v>99.410255547120826</v>
      </c>
      <c r="P73" s="241">
        <f t="shared" si="27"/>
        <v>101.2550292386434</v>
      </c>
      <c r="Q73" s="241">
        <f t="shared" si="27"/>
        <v>101.73862607232519</v>
      </c>
      <c r="R73" s="241">
        <f t="shared" si="27"/>
        <v>101.0288942238539</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4.7383826896292947E-2</v>
      </c>
      <c r="Q74" s="172">
        <f t="shared" si="28"/>
        <v>3.513341847387319E-2</v>
      </c>
      <c r="R74" s="172">
        <f t="shared" si="28"/>
        <v>1.999999999999913E-2</v>
      </c>
      <c r="S74" s="177"/>
      <c r="T74" s="177"/>
      <c r="U74" s="177"/>
      <c r="V74" s="177"/>
      <c r="W74" s="177"/>
      <c r="X74" s="177"/>
      <c r="Y74" s="177"/>
      <c r="Z74" s="177"/>
    </row>
    <row r="75" spans="1:16383" x14ac:dyDescent="0.25">
      <c r="E75" s="7" t="s">
        <v>152</v>
      </c>
      <c r="G75" s="162" t="s">
        <v>88</v>
      </c>
      <c r="J75" s="184">
        <f t="shared" ref="J75:L75" si="29">J73*J74</f>
        <v>0</v>
      </c>
      <c r="K75" s="184">
        <f t="shared" si="29"/>
        <v>0</v>
      </c>
      <c r="L75" s="184">
        <f t="shared" si="29"/>
        <v>0</v>
      </c>
      <c r="M75" s="184">
        <f>M73*M74</f>
        <v>2.0852651814210903</v>
      </c>
      <c r="N75" s="184">
        <f t="shared" ref="N75:R75" si="30">N73*N74</f>
        <v>4.0877131304757528</v>
      </c>
      <c r="O75" s="184">
        <f t="shared" si="30"/>
        <v>6.1385205811886427</v>
      </c>
      <c r="P75" s="184">
        <f t="shared" si="30"/>
        <v>4.7978507778229602</v>
      </c>
      <c r="Q75" s="184">
        <f t="shared" si="30"/>
        <v>3.5744257247559066</v>
      </c>
      <c r="R75" s="184">
        <f t="shared" si="30"/>
        <v>2.0205778844769902</v>
      </c>
    </row>
    <row r="77" spans="1:16383" s="205" customFormat="1" x14ac:dyDescent="0.25">
      <c r="A77" s="201"/>
      <c r="B77" s="202"/>
      <c r="C77" s="203"/>
      <c r="D77" s="204"/>
      <c r="E77" s="37" t="str">
        <f xml:space="preserve"> InpR!E$94</f>
        <v>Run-off rate - CPI(H) + RPI wedge - active - WR</v>
      </c>
      <c r="F77" s="205">
        <f xml:space="preserve"> InpR!F$94</f>
        <v>0</v>
      </c>
      <c r="G77" s="223" t="str">
        <f xml:space="preserve"> InpR!G$94</f>
        <v>%</v>
      </c>
      <c r="H77" s="205" t="str">
        <f xml:space="preserve"> InpR!I$94</f>
        <v>PR19 Financial model, 'F_OutputsMaster' sheet row 953, PR19FM2090POST</v>
      </c>
      <c r="I77" s="205" t="e">
        <f xml:space="preserve"> InpR!#REF!</f>
        <v>#REF!</v>
      </c>
      <c r="J77" s="205">
        <f xml:space="preserve"> InpR!J$94</f>
        <v>0</v>
      </c>
      <c r="K77" s="205">
        <f xml:space="preserve"> InpR!K$94</f>
        <v>0</v>
      </c>
      <c r="L77" s="205">
        <f xml:space="preserve"> InpR!L$94</f>
        <v>0</v>
      </c>
      <c r="M77" s="205">
        <f xml:space="preserve"> InpR!M$94</f>
        <v>4.0680214846322976E-2</v>
      </c>
      <c r="N77" s="205">
        <f xml:space="preserve"> InpR!N$94</f>
        <v>4.0680214846322976E-2</v>
      </c>
      <c r="O77" s="205">
        <f xml:space="preserve"> InpR!O$94</f>
        <v>4.0680214846322976E-2</v>
      </c>
      <c r="P77" s="205">
        <f xml:space="preserve"> InpR!P$94</f>
        <v>4.0680214846322976E-2</v>
      </c>
      <c r="Q77" s="205">
        <f xml:space="preserve"> InpR!Q$94</f>
        <v>4.0680214846322976E-2</v>
      </c>
      <c r="R77" s="205">
        <f xml:space="preserve"> InpR!R$94</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101.67373439267088</v>
      </c>
      <c r="N78" s="241">
        <f t="shared" si="31"/>
        <v>99.538061179178385</v>
      </c>
      <c r="O78" s="241">
        <f t="shared" si="31"/>
        <v>99.410255547120826</v>
      </c>
      <c r="P78" s="241">
        <f t="shared" si="31"/>
        <v>101.2550292386434</v>
      </c>
      <c r="Q78" s="241">
        <f t="shared" si="31"/>
        <v>101.73862607232519</v>
      </c>
      <c r="R78" s="241">
        <f t="shared" si="31"/>
        <v>101.0288942238539</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2.0852651814210903</v>
      </c>
      <c r="N79" s="184">
        <f t="shared" si="32"/>
        <v>4.0877131304757528</v>
      </c>
      <c r="O79" s="184">
        <f t="shared" si="32"/>
        <v>6.1385205811886427</v>
      </c>
      <c r="P79" s="184">
        <f t="shared" si="32"/>
        <v>4.7978507778229602</v>
      </c>
      <c r="Q79" s="184">
        <f t="shared" si="32"/>
        <v>3.5744257247559066</v>
      </c>
      <c r="R79" s="184">
        <f t="shared" si="32"/>
        <v>2.0205778844769902</v>
      </c>
    </row>
    <row r="80" spans="1:16383" x14ac:dyDescent="0.25">
      <c r="E80" s="7" t="s">
        <v>153</v>
      </c>
      <c r="F80" s="244"/>
      <c r="G80" s="244" t="s">
        <v>88</v>
      </c>
      <c r="H80" s="244"/>
      <c r="I80" s="244"/>
      <c r="J80" s="184">
        <f t="shared" ref="J80:R80" si="33" xml:space="preserve"> (J78+J79) * J77</f>
        <v>0</v>
      </c>
      <c r="K80" s="184">
        <f t="shared" si="33"/>
        <v>0</v>
      </c>
      <c r="L80" s="184">
        <f t="shared" si="33"/>
        <v>0</v>
      </c>
      <c r="M80" s="184">
        <f t="shared" si="33"/>
        <v>4.2209383949135955</v>
      </c>
      <c r="N80" s="184">
        <f xml:space="preserve"> (N78+N79) * N77</f>
        <v>4.2155187625333062</v>
      </c>
      <c r="O80" s="184">
        <f t="shared" si="33"/>
        <v>4.2937468896660747</v>
      </c>
      <c r="P80" s="184">
        <f t="shared" si="33"/>
        <v>4.3142539441411643</v>
      </c>
      <c r="Q80" s="184">
        <f t="shared" si="33"/>
        <v>4.2841575732271995</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InpR!$E$87</f>
        <v>RCV - CPI(H) + RPI wedge initial balance - nominal - WR</v>
      </c>
      <c r="F82" s="250">
        <f>InpR!$F$87</f>
        <v>101.67373439267088</v>
      </c>
      <c r="G82" s="200" t="str">
        <f>InpR!$G$87</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R85" si="34" xml:space="preserve"> I88</f>
        <v>0</v>
      </c>
      <c r="K85" s="242">
        <f t="shared" si="34"/>
        <v>0</v>
      </c>
      <c r="L85" s="242">
        <f t="shared" si="34"/>
        <v>0</v>
      </c>
      <c r="M85" s="242">
        <f t="shared" si="34"/>
        <v>101.67373439267088</v>
      </c>
      <c r="N85" s="242">
        <f t="shared" si="34"/>
        <v>99.538061179178385</v>
      </c>
      <c r="O85" s="242">
        <f t="shared" si="34"/>
        <v>99.410255547120826</v>
      </c>
      <c r="P85" s="242">
        <f t="shared" si="34"/>
        <v>101.2550292386434</v>
      </c>
      <c r="Q85" s="242">
        <f t="shared" si="34"/>
        <v>101.73862607232519</v>
      </c>
      <c r="R85" s="242">
        <f t="shared" si="34"/>
        <v>101.0288942238539</v>
      </c>
    </row>
    <row r="86" spans="1:18" x14ac:dyDescent="0.25">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2.0852651814210903</v>
      </c>
      <c r="N86" s="242">
        <f t="shared" si="35"/>
        <v>4.0877131304757528</v>
      </c>
      <c r="O86" s="242">
        <f t="shared" si="35"/>
        <v>6.1385205811886427</v>
      </c>
      <c r="P86" s="242">
        <f t="shared" si="35"/>
        <v>4.7978507778229602</v>
      </c>
      <c r="Q86" s="242">
        <f t="shared" si="35"/>
        <v>3.5744257247559066</v>
      </c>
      <c r="R86" s="242">
        <f t="shared" si="35"/>
        <v>2.0205778844769902</v>
      </c>
    </row>
    <row r="87" spans="1:18" x14ac:dyDescent="0.25">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4.2209383949135955</v>
      </c>
      <c r="N87" s="242">
        <f t="shared" si="36"/>
        <v>4.2155187625333062</v>
      </c>
      <c r="O87" s="242">
        <f t="shared" si="36"/>
        <v>4.2937468896660747</v>
      </c>
      <c r="P87" s="242">
        <f t="shared" si="36"/>
        <v>4.3142539441411643</v>
      </c>
      <c r="Q87" s="242">
        <f t="shared" si="36"/>
        <v>4.2841575732271995</v>
      </c>
      <c r="R87" s="242">
        <f t="shared" si="36"/>
        <v>0</v>
      </c>
    </row>
    <row r="88" spans="1:18" s="138" customFormat="1" x14ac:dyDescent="0.25">
      <c r="A88" s="134"/>
      <c r="B88" s="135"/>
      <c r="C88" s="136"/>
      <c r="D88" s="137"/>
      <c r="E88" s="138" t="s">
        <v>155</v>
      </c>
      <c r="G88" s="163" t="s">
        <v>88</v>
      </c>
      <c r="J88" s="243">
        <f t="shared" ref="J88:R88" si="37" xml:space="preserve"> IF( J83 = 1, $F82, J85 + J86 - J87)</f>
        <v>0</v>
      </c>
      <c r="K88" s="243">
        <f t="shared" si="37"/>
        <v>0</v>
      </c>
      <c r="L88" s="243">
        <f t="shared" si="37"/>
        <v>101.67373439267088</v>
      </c>
      <c r="M88" s="243">
        <f t="shared" si="37"/>
        <v>99.538061179178385</v>
      </c>
      <c r="N88" s="243">
        <f t="shared" si="37"/>
        <v>99.410255547120826</v>
      </c>
      <c r="O88" s="243">
        <f t="shared" si="37"/>
        <v>101.2550292386434</v>
      </c>
      <c r="P88" s="243">
        <f t="shared" si="37"/>
        <v>101.73862607232519</v>
      </c>
      <c r="Q88" s="243">
        <f t="shared" si="37"/>
        <v>101.0288942238539</v>
      </c>
      <c r="R88" s="243">
        <f t="shared" si="37"/>
        <v>103.04947210833089</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101.67373439267088</v>
      </c>
      <c r="N90" s="185">
        <f t="shared" si="38"/>
        <v>99.538061179178385</v>
      </c>
      <c r="O90" s="185">
        <f t="shared" si="38"/>
        <v>99.410255547120826</v>
      </c>
      <c r="P90" s="185">
        <f t="shared" si="38"/>
        <v>101.2550292386434</v>
      </c>
      <c r="Q90" s="185">
        <f t="shared" si="38"/>
        <v>101.73862607232519</v>
      </c>
      <c r="R90" s="185">
        <f t="shared" si="38"/>
        <v>101.0288942238539</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2.0852651814210903</v>
      </c>
      <c r="N91" s="242">
        <f t="shared" si="39"/>
        <v>4.0877131304757528</v>
      </c>
      <c r="O91" s="242">
        <f t="shared" si="39"/>
        <v>6.1385205811886427</v>
      </c>
      <c r="P91" s="242">
        <f t="shared" si="39"/>
        <v>4.7978507778229602</v>
      </c>
      <c r="Q91" s="242">
        <f t="shared" si="39"/>
        <v>3.5744257247559066</v>
      </c>
      <c r="R91" s="242">
        <f t="shared" si="39"/>
        <v>2.0205778844769902</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101.67373439267088</v>
      </c>
      <c r="M92" s="185">
        <f t="shared" si="40"/>
        <v>99.538061179178385</v>
      </c>
      <c r="N92" s="185">
        <f t="shared" si="40"/>
        <v>99.410255547120826</v>
      </c>
      <c r="O92" s="185">
        <f t="shared" si="40"/>
        <v>101.2550292386434</v>
      </c>
      <c r="P92" s="185">
        <f t="shared" si="40"/>
        <v>101.73862607232519</v>
      </c>
      <c r="Q92" s="185">
        <f t="shared" si="40"/>
        <v>101.0288942238539</v>
      </c>
      <c r="R92" s="185">
        <f t="shared" si="40"/>
        <v>103.04947210833089</v>
      </c>
    </row>
    <row r="93" spans="1:18" x14ac:dyDescent="0.25">
      <c r="A93" s="49"/>
      <c r="D93" s="57"/>
      <c r="E93" s="7" t="s">
        <v>173</v>
      </c>
      <c r="G93" s="92" t="s">
        <v>88</v>
      </c>
      <c r="H93" s="244"/>
      <c r="I93" s="244"/>
      <c r="J93" s="185">
        <f t="shared" ref="J93:K93" si="41" xml:space="preserve"> ( (J90+J91) + J92) / 2</f>
        <v>0</v>
      </c>
      <c r="K93" s="185">
        <f t="shared" si="41"/>
        <v>0</v>
      </c>
      <c r="L93" s="185">
        <f xml:space="preserve"> ( (L90+L91) + L92) / 2</f>
        <v>50.83686719633544</v>
      </c>
      <c r="M93" s="185">
        <f xml:space="preserve"> ( (M90+M91) + M92) / 2</f>
        <v>101.64853037663518</v>
      </c>
      <c r="N93" s="185">
        <f t="shared" ref="N93:P93" si="42" xml:space="preserve"> ( (N90+N91) + N92) / 2</f>
        <v>101.51801492838749</v>
      </c>
      <c r="O93" s="185">
        <f t="shared" si="42"/>
        <v>103.40190268347644</v>
      </c>
      <c r="P93" s="185">
        <f t="shared" si="42"/>
        <v>103.89575304439578</v>
      </c>
      <c r="Q93" s="185">
        <f xml:space="preserve"> ( (Q90+Q91) + Q92) / 2</f>
        <v>103.17097301046749</v>
      </c>
      <c r="R93" s="185">
        <f t="shared" ref="R93" si="43" xml:space="preserve"> ( (R90+R91) + R92) / 2</f>
        <v>103.04947210833089</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InpR!E$101</f>
        <v>WACC on RCV - CPI(H) + RPI wedge bf and additions - WR</v>
      </c>
      <c r="F96" s="205">
        <f xml:space="preserve"> InpR!F$101</f>
        <v>0</v>
      </c>
      <c r="G96" s="223" t="str">
        <f xml:space="preserve"> InpR!G$101</f>
        <v>%</v>
      </c>
      <c r="H96" s="205" t="str">
        <f xml:space="preserve"> InpR!I$101</f>
        <v>PR19 Financial model, 'Water Resources' sheet row 980</v>
      </c>
      <c r="I96" s="205" t="e">
        <f xml:space="preserve"> InpR!#REF!</f>
        <v>#REF!</v>
      </c>
      <c r="J96" s="205">
        <f xml:space="preserve"> InpR!J$101</f>
        <v>0</v>
      </c>
      <c r="K96" s="205">
        <f xml:space="preserve"> InpR!K$101</f>
        <v>0</v>
      </c>
      <c r="L96" s="205">
        <f xml:space="preserve"> InpR!L$101</f>
        <v>0</v>
      </c>
      <c r="M96" s="205">
        <f xml:space="preserve"> InpR!M$101</f>
        <v>1.920357193840716E-2</v>
      </c>
      <c r="N96" s="205">
        <f xml:space="preserve"> InpR!N$101</f>
        <v>1.920357193840716E-2</v>
      </c>
      <c r="O96" s="205">
        <f xml:space="preserve"> InpR!O$101</f>
        <v>1.920357193840716E-2</v>
      </c>
      <c r="P96" s="205">
        <f xml:space="preserve"> InpR!P$101</f>
        <v>1.920357193840716E-2</v>
      </c>
      <c r="Q96" s="205">
        <f xml:space="preserve"> InpR!Q$101</f>
        <v>1.920357193840716E-2</v>
      </c>
      <c r="R96" s="205">
        <f xml:space="preserve"> InpR!R$101</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50.83686719633544</v>
      </c>
      <c r="M98" s="184">
        <f t="shared" si="44"/>
        <v>101.64853037663518</v>
      </c>
      <c r="N98" s="184">
        <f t="shared" si="44"/>
        <v>101.51801492838749</v>
      </c>
      <c r="O98" s="184">
        <f t="shared" si="44"/>
        <v>103.40190268347644</v>
      </c>
      <c r="P98" s="184">
        <f t="shared" si="44"/>
        <v>103.89575304439578</v>
      </c>
      <c r="Q98" s="184">
        <f t="shared" si="44"/>
        <v>103.17097301046749</v>
      </c>
      <c r="R98" s="184">
        <f t="shared" si="44"/>
        <v>103.04947210833089</v>
      </c>
    </row>
    <row r="99" spans="1:26" x14ac:dyDescent="0.25">
      <c r="E99" s="7" t="s">
        <v>157</v>
      </c>
      <c r="F99" s="244"/>
      <c r="G99" s="184" t="s">
        <v>88</v>
      </c>
      <c r="H99" s="244"/>
      <c r="I99" s="244"/>
      <c r="J99" s="244">
        <f t="shared" ref="J99:K99" si="45">J96*J97*J98</f>
        <v>0</v>
      </c>
      <c r="K99" s="244">
        <f t="shared" si="45"/>
        <v>0</v>
      </c>
      <c r="L99" s="244">
        <f>L96*L97*L98</f>
        <v>0</v>
      </c>
      <c r="M99" s="244">
        <f>M96*M97*M98</f>
        <v>1.9520148655210792</v>
      </c>
      <c r="N99" s="244">
        <f t="shared" ref="N99:R99" si="46">N96*N97*N98</f>
        <v>1.949508502721581</v>
      </c>
      <c r="O99" s="244">
        <f t="shared" si="46"/>
        <v>1.985685876750316</v>
      </c>
      <c r="P99" s="244">
        <f t="shared" si="46"/>
        <v>1.995169567683039</v>
      </c>
      <c r="Q99" s="244">
        <f t="shared" si="46"/>
        <v>1.9812512021619759</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101.67373439267088</v>
      </c>
      <c r="M102" s="185">
        <f t="shared" si="47"/>
        <v>99.538061179178385</v>
      </c>
      <c r="N102" s="185">
        <f t="shared" si="47"/>
        <v>99.410255547120826</v>
      </c>
      <c r="O102" s="185">
        <f t="shared" si="47"/>
        <v>101.2550292386434</v>
      </c>
      <c r="P102" s="185">
        <f t="shared" si="47"/>
        <v>101.73862607232519</v>
      </c>
      <c r="Q102" s="185">
        <f t="shared" si="47"/>
        <v>101.0288942238539</v>
      </c>
      <c r="R102" s="185">
        <f t="shared" si="47"/>
        <v>103.04947210833089</v>
      </c>
    </row>
    <row r="103" spans="1:26" x14ac:dyDescent="0.25">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101.0288942238539</v>
      </c>
      <c r="R103" s="184">
        <f t="shared" si="48"/>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4.2209383949135955</v>
      </c>
      <c r="N106" s="184">
        <f t="shared" si="49"/>
        <v>4.2155187625333062</v>
      </c>
      <c r="O106" s="184">
        <f t="shared" si="49"/>
        <v>4.2937468896660747</v>
      </c>
      <c r="P106" s="184">
        <f t="shared" si="49"/>
        <v>4.3142539441411643</v>
      </c>
      <c r="Q106" s="184">
        <f t="shared" si="49"/>
        <v>4.2841575732271995</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1.9520148655210792</v>
      </c>
      <c r="N107" s="184">
        <f t="shared" si="50"/>
        <v>1.949508502721581</v>
      </c>
      <c r="O107" s="184">
        <f t="shared" si="50"/>
        <v>1.985685876750316</v>
      </c>
      <c r="P107" s="184">
        <f t="shared" si="50"/>
        <v>1.995169567683039</v>
      </c>
      <c r="Q107" s="184">
        <f t="shared" si="50"/>
        <v>1.9812512021619759</v>
      </c>
      <c r="R107" s="184">
        <f t="shared" si="50"/>
        <v>0</v>
      </c>
      <c r="S107" s="92"/>
      <c r="T107" s="92"/>
      <c r="U107" s="92"/>
      <c r="V107" s="92"/>
      <c r="W107" s="92"/>
      <c r="X107" s="92"/>
      <c r="Y107" s="92"/>
      <c r="Z107" s="92"/>
    </row>
    <row r="108" spans="1:26" x14ac:dyDescent="0.25">
      <c r="E108" s="7" t="s">
        <v>266</v>
      </c>
      <c r="F108" s="244"/>
      <c r="G108" s="184" t="str">
        <f t="shared" si="50"/>
        <v>£m</v>
      </c>
      <c r="H108" s="244">
        <f>SUM(J108:R108)</f>
        <v>31.19224557931933</v>
      </c>
      <c r="I108" s="244"/>
      <c r="J108" s="244">
        <f t="shared" ref="J108:R108" si="51">SUM(J106:J107)</f>
        <v>0</v>
      </c>
      <c r="K108" s="244">
        <f t="shared" si="51"/>
        <v>0</v>
      </c>
      <c r="L108" s="244">
        <f t="shared" si="51"/>
        <v>0</v>
      </c>
      <c r="M108" s="244">
        <f t="shared" si="51"/>
        <v>6.1729532604346744</v>
      </c>
      <c r="N108" s="244">
        <f t="shared" si="51"/>
        <v>6.1650272652548868</v>
      </c>
      <c r="O108" s="244">
        <f t="shared" si="51"/>
        <v>6.2794327664163907</v>
      </c>
      <c r="P108" s="244">
        <f t="shared" si="51"/>
        <v>6.3094235118242032</v>
      </c>
      <c r="Q108" s="244">
        <f t="shared" si="51"/>
        <v>6.2654087753891758</v>
      </c>
      <c r="R108" s="244">
        <f t="shared" si="51"/>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6.195628824107323</v>
      </c>
      <c r="N114" s="184">
        <f t="shared" si="52"/>
        <v>6.119446144942339</v>
      </c>
      <c r="O114" s="184">
        <f t="shared" si="52"/>
        <v>6.0554483151601035</v>
      </c>
      <c r="P114" s="184">
        <f t="shared" si="52"/>
        <v>5.9950029407632641</v>
      </c>
      <c r="Q114" s="184">
        <f t="shared" si="52"/>
        <v>5.9351609309887934</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31.19224557931933</v>
      </c>
      <c r="I115" s="184">
        <f t="shared" si="53"/>
        <v>0</v>
      </c>
      <c r="J115" s="184">
        <f t="shared" si="53"/>
        <v>0</v>
      </c>
      <c r="K115" s="184">
        <f t="shared" si="53"/>
        <v>0</v>
      </c>
      <c r="L115" s="184">
        <f t="shared" si="53"/>
        <v>0</v>
      </c>
      <c r="M115" s="184">
        <f t="shared" si="53"/>
        <v>6.1729532604346744</v>
      </c>
      <c r="N115" s="184">
        <f t="shared" si="53"/>
        <v>6.1650272652548868</v>
      </c>
      <c r="O115" s="184">
        <f t="shared" si="53"/>
        <v>6.2794327664163907</v>
      </c>
      <c r="P115" s="184">
        <f t="shared" si="53"/>
        <v>6.3094235118242032</v>
      </c>
      <c r="Q115" s="184">
        <f t="shared" si="53"/>
        <v>6.2654087753891758</v>
      </c>
      <c r="R115" s="184">
        <f t="shared" si="53"/>
        <v>0</v>
      </c>
    </row>
    <row r="116" spans="1:26" s="184" customFormat="1" x14ac:dyDescent="0.25">
      <c r="A116" s="180"/>
      <c r="B116" s="181"/>
      <c r="C116" s="182"/>
      <c r="D116" s="183"/>
      <c r="E116" s="7" t="s">
        <v>267</v>
      </c>
      <c r="G116" s="184" t="str">
        <f t="shared" ref="G116" si="54" xml:space="preserve"> G$99</f>
        <v>£m</v>
      </c>
      <c r="H116" s="244">
        <f>SUM(J116:R116)</f>
        <v>0.89155842335750801</v>
      </c>
      <c r="M116" s="184">
        <f>M115-M114</f>
        <v>-2.2675563672648558E-2</v>
      </c>
      <c r="N116" s="184">
        <f t="shared" ref="N116:Q116" si="55">N115-N114</f>
        <v>4.5581120312547796E-2</v>
      </c>
      <c r="O116" s="184">
        <f t="shared" si="55"/>
        <v>0.22398445125628719</v>
      </c>
      <c r="P116" s="184">
        <f t="shared" si="55"/>
        <v>0.31442057106093912</v>
      </c>
      <c r="Q116" s="184">
        <f t="shared" si="55"/>
        <v>0.33024784440038246</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101.67373439267088</v>
      </c>
      <c r="N128" s="245">
        <f t="shared" si="58"/>
        <v>99.903701667433353</v>
      </c>
      <c r="O128" s="245">
        <f t="shared" si="58"/>
        <v>98.675265964198502</v>
      </c>
      <c r="P128" s="245">
        <f t="shared" si="58"/>
        <v>97.643309358107132</v>
      </c>
      <c r="Q128" s="245">
        <f t="shared" si="58"/>
        <v>96.668635628877041</v>
      </c>
      <c r="R128" s="245">
        <f t="shared" si="58"/>
        <v>95.703691074996385</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162</v>
      </c>
      <c r="G130" s="91" t="s">
        <v>88</v>
      </c>
      <c r="J130" s="246">
        <f>J128*J129</f>
        <v>0</v>
      </c>
      <c r="K130" s="246">
        <f t="shared" ref="K130:L130" si="60">K128*K129</f>
        <v>0</v>
      </c>
      <c r="L130" s="246">
        <f t="shared" si="60"/>
        <v>0</v>
      </c>
      <c r="M130" s="246">
        <f>M128*M129</f>
        <v>2.4664107534332511</v>
      </c>
      <c r="N130" s="246">
        <f t="shared" ref="N130:R130" si="61">N128*N129</f>
        <v>2.9559156273265366</v>
      </c>
      <c r="O130" s="246">
        <f t="shared" si="61"/>
        <v>3.1086343255941169</v>
      </c>
      <c r="P130" s="246">
        <f t="shared" si="61"/>
        <v>3.1245858994594959</v>
      </c>
      <c r="Q130" s="246">
        <f t="shared" si="61"/>
        <v>3.0933963401240465</v>
      </c>
      <c r="R130" s="246">
        <f t="shared" si="61"/>
        <v>2.871110732249873</v>
      </c>
    </row>
    <row r="132" spans="1:16383" s="205" customFormat="1" x14ac:dyDescent="0.25">
      <c r="A132" s="201"/>
      <c r="B132" s="202"/>
      <c r="C132" s="203"/>
      <c r="D132" s="204"/>
      <c r="E132" s="37" t="str">
        <f xml:space="preserve"> InpR!E$94</f>
        <v>Run-off rate - CPI(H) + RPI wedge - active - WR</v>
      </c>
      <c r="F132" s="205">
        <f xml:space="preserve"> InpR!F$94</f>
        <v>0</v>
      </c>
      <c r="G132" s="223" t="str">
        <f xml:space="preserve"> InpR!G$94</f>
        <v>%</v>
      </c>
      <c r="H132" s="205" t="str">
        <f xml:space="preserve"> InpR!I$94</f>
        <v>PR19 Financial model, 'F_OutputsMaster' sheet row 953, PR19FM2090POST</v>
      </c>
      <c r="I132" s="205" t="e">
        <f xml:space="preserve"> InpR!#REF!</f>
        <v>#REF!</v>
      </c>
      <c r="J132" s="205">
        <f xml:space="preserve"> InpR!J$94</f>
        <v>0</v>
      </c>
      <c r="K132" s="205">
        <f xml:space="preserve"> InpR!K$94</f>
        <v>0</v>
      </c>
      <c r="L132" s="205">
        <f xml:space="preserve"> InpR!L$94</f>
        <v>0</v>
      </c>
      <c r="M132" s="205">
        <f xml:space="preserve"> InpR!M$94</f>
        <v>4.0680214846322976E-2</v>
      </c>
      <c r="N132" s="205">
        <f xml:space="preserve"> InpR!N$94</f>
        <v>4.0680214846322976E-2</v>
      </c>
      <c r="O132" s="205">
        <f xml:space="preserve"> InpR!O$94</f>
        <v>4.0680214846322976E-2</v>
      </c>
      <c r="P132" s="205">
        <f xml:space="preserve"> InpR!P$94</f>
        <v>4.0680214846322976E-2</v>
      </c>
      <c r="Q132" s="205">
        <f xml:space="preserve"> InpR!Q$94</f>
        <v>4.0680214846322976E-2</v>
      </c>
      <c r="R132" s="205">
        <f xml:space="preserve"> InpR!R$94</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101.67373439267088</v>
      </c>
      <c r="N133" s="245">
        <f t="shared" si="62"/>
        <v>99.903701667433353</v>
      </c>
      <c r="O133" s="245">
        <f t="shared" si="62"/>
        <v>98.675265964198502</v>
      </c>
      <c r="P133" s="245">
        <f t="shared" si="62"/>
        <v>97.643309358107132</v>
      </c>
      <c r="Q133" s="245">
        <f t="shared" si="62"/>
        <v>96.668635628877041</v>
      </c>
      <c r="R133" s="245">
        <f t="shared" si="62"/>
        <v>95.703691074996385</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2.4664107534332511</v>
      </c>
      <c r="N134" s="246">
        <f t="shared" si="63"/>
        <v>2.9559156273265366</v>
      </c>
      <c r="O134" s="246">
        <f t="shared" si="63"/>
        <v>3.1086343255941169</v>
      </c>
      <c r="P134" s="246">
        <f t="shared" si="63"/>
        <v>3.1245858994594959</v>
      </c>
      <c r="Q134" s="246">
        <f t="shared" si="63"/>
        <v>3.0933963401240465</v>
      </c>
      <c r="R134" s="246">
        <f t="shared" si="63"/>
        <v>2.871110732249873</v>
      </c>
      <c r="S134" s="92"/>
      <c r="T134" s="92"/>
      <c r="U134" s="92"/>
      <c r="V134" s="92"/>
      <c r="W134" s="92"/>
      <c r="X134" s="92"/>
      <c r="Y134" s="92"/>
      <c r="Z134" s="92"/>
    </row>
    <row r="135" spans="1:16383" x14ac:dyDescent="0.25">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4.2364434786707745</v>
      </c>
      <c r="N135" s="246">
        <f t="shared" si="64"/>
        <v>4.1843513305613911</v>
      </c>
      <c r="O135" s="246">
        <f t="shared" si="64"/>
        <v>4.1405909316854785</v>
      </c>
      <c r="P135" s="246">
        <f t="shared" si="64"/>
        <v>4.0992596286895804</v>
      </c>
      <c r="Q135" s="246">
        <f t="shared" si="64"/>
        <v>4.0583408940047052</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InpR!$E$87</f>
        <v>RCV - CPI(H) + RPI wedge initial balance - nominal - WR</v>
      </c>
      <c r="F137" s="250">
        <f>InpR!$F$87</f>
        <v>101.67373439267088</v>
      </c>
      <c r="G137" s="200" t="str">
        <f>InpR!$G$87</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R140" si="65" xml:space="preserve"> I143</f>
        <v>0</v>
      </c>
      <c r="K140" s="242">
        <f t="shared" si="65"/>
        <v>0</v>
      </c>
      <c r="L140" s="242">
        <f t="shared" si="65"/>
        <v>0</v>
      </c>
      <c r="M140" s="242">
        <f t="shared" si="65"/>
        <v>101.67373439267088</v>
      </c>
      <c r="N140" s="242">
        <f t="shared" si="65"/>
        <v>99.903701667433353</v>
      </c>
      <c r="O140" s="242">
        <f t="shared" si="65"/>
        <v>98.675265964198502</v>
      </c>
      <c r="P140" s="242">
        <f t="shared" si="65"/>
        <v>97.643309358107132</v>
      </c>
      <c r="Q140" s="242">
        <f t="shared" si="65"/>
        <v>96.668635628877041</v>
      </c>
      <c r="R140" s="242">
        <f t="shared" si="65"/>
        <v>95.703691074996385</v>
      </c>
    </row>
    <row r="141" spans="1:16383" x14ac:dyDescent="0.25">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2.4664107534332511</v>
      </c>
      <c r="N141" s="242">
        <f t="shared" si="66"/>
        <v>2.9559156273265366</v>
      </c>
      <c r="O141" s="242">
        <f t="shared" si="66"/>
        <v>3.1086343255941169</v>
      </c>
      <c r="P141" s="242">
        <f t="shared" si="66"/>
        <v>3.1245858994594959</v>
      </c>
      <c r="Q141" s="242">
        <f t="shared" si="66"/>
        <v>3.0933963401240465</v>
      </c>
      <c r="R141" s="242">
        <f t="shared" si="66"/>
        <v>2.871110732249873</v>
      </c>
    </row>
    <row r="142" spans="1:16383" x14ac:dyDescent="0.25">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4.2364434786707745</v>
      </c>
      <c r="N142" s="242">
        <f t="shared" si="67"/>
        <v>4.1843513305613911</v>
      </c>
      <c r="O142" s="242">
        <f t="shared" si="67"/>
        <v>4.1405909316854785</v>
      </c>
      <c r="P142" s="242">
        <f t="shared" si="67"/>
        <v>4.0992596286895804</v>
      </c>
      <c r="Q142" s="242">
        <f t="shared" si="67"/>
        <v>4.0583408940047052</v>
      </c>
      <c r="R142" s="242">
        <f t="shared" si="67"/>
        <v>0</v>
      </c>
    </row>
    <row r="143" spans="1:16383" s="138" customFormat="1" x14ac:dyDescent="0.25">
      <c r="A143" s="134"/>
      <c r="B143" s="135"/>
      <c r="C143" s="279"/>
      <c r="D143" s="137"/>
      <c r="E143" s="138" t="s">
        <v>164</v>
      </c>
      <c r="G143" s="163" t="s">
        <v>88</v>
      </c>
      <c r="J143" s="243">
        <f t="shared" ref="J143:R143" si="68" xml:space="preserve"> IF( J138 = 1, $F137, J140 + J141 - J142)</f>
        <v>0</v>
      </c>
      <c r="K143" s="243">
        <f t="shared" si="68"/>
        <v>0</v>
      </c>
      <c r="L143" s="243">
        <f t="shared" si="68"/>
        <v>101.67373439267088</v>
      </c>
      <c r="M143" s="243">
        <f t="shared" si="68"/>
        <v>99.903701667433353</v>
      </c>
      <c r="N143" s="243">
        <f t="shared" si="68"/>
        <v>98.675265964198502</v>
      </c>
      <c r="O143" s="243">
        <f t="shared" si="68"/>
        <v>97.643309358107132</v>
      </c>
      <c r="P143" s="243">
        <f t="shared" si="68"/>
        <v>96.668635628877041</v>
      </c>
      <c r="Q143" s="243">
        <f t="shared" si="68"/>
        <v>95.703691074996385</v>
      </c>
      <c r="R143" s="243">
        <f t="shared" si="68"/>
        <v>98.57480180724626</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101.67373439267088</v>
      </c>
      <c r="N145" s="185">
        <f t="shared" si="69"/>
        <v>99.903701667433353</v>
      </c>
      <c r="O145" s="185">
        <f t="shared" si="69"/>
        <v>98.675265964198502</v>
      </c>
      <c r="P145" s="185">
        <f t="shared" si="69"/>
        <v>97.643309358107132</v>
      </c>
      <c r="Q145" s="185">
        <f t="shared" si="69"/>
        <v>96.668635628877041</v>
      </c>
      <c r="R145" s="185">
        <f t="shared" si="69"/>
        <v>95.703691074996385</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2.4664107534332511</v>
      </c>
      <c r="N146" s="184">
        <f t="shared" si="70"/>
        <v>2.9559156273265366</v>
      </c>
      <c r="O146" s="184">
        <f t="shared" si="70"/>
        <v>3.1086343255941169</v>
      </c>
      <c r="P146" s="184">
        <f t="shared" si="70"/>
        <v>3.1245858994594959</v>
      </c>
      <c r="Q146" s="184">
        <f t="shared" si="70"/>
        <v>3.0933963401240465</v>
      </c>
      <c r="R146" s="184">
        <f t="shared" si="70"/>
        <v>2.871110732249873</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101.67373439267088</v>
      </c>
      <c r="M147" s="185">
        <f t="shared" si="71"/>
        <v>99.903701667433353</v>
      </c>
      <c r="N147" s="185">
        <f t="shared" si="71"/>
        <v>98.675265964198502</v>
      </c>
      <c r="O147" s="185">
        <f t="shared" si="71"/>
        <v>97.643309358107132</v>
      </c>
      <c r="P147" s="185">
        <f t="shared" si="71"/>
        <v>96.668635628877041</v>
      </c>
      <c r="Q147" s="185">
        <f t="shared" si="71"/>
        <v>95.703691074996385</v>
      </c>
      <c r="R147" s="185">
        <f t="shared" si="71"/>
        <v>98.57480180724626</v>
      </c>
    </row>
    <row r="148" spans="1:26" x14ac:dyDescent="0.25">
      <c r="A148" s="49"/>
      <c r="C148" s="278"/>
      <c r="D148" s="57"/>
      <c r="E148" s="7" t="s">
        <v>317</v>
      </c>
      <c r="F148" s="244"/>
      <c r="G148" s="185" t="s">
        <v>88</v>
      </c>
      <c r="H148" s="244"/>
      <c r="I148" s="244"/>
      <c r="J148" s="185">
        <f t="shared" ref="J148:L148" si="72" xml:space="preserve"> ( (J145+J146) + J147) / 2</f>
        <v>0</v>
      </c>
      <c r="K148" s="185">
        <f t="shared" si="72"/>
        <v>0</v>
      </c>
      <c r="L148" s="185">
        <f t="shared" si="72"/>
        <v>50.83686719633544</v>
      </c>
      <c r="M148" s="185">
        <f xml:space="preserve"> ( (M145+M146) + M147) / 2</f>
        <v>102.02192340676874</v>
      </c>
      <c r="N148" s="185">
        <f t="shared" ref="N148:R148" si="73" xml:space="preserve"> ( (N145+N146) + N147) / 2</f>
        <v>100.76744162947919</v>
      </c>
      <c r="O148" s="185">
        <f t="shared" si="73"/>
        <v>99.713604823949879</v>
      </c>
      <c r="P148" s="185">
        <f t="shared" si="73"/>
        <v>98.718265443221838</v>
      </c>
      <c r="Q148" s="185">
        <f t="shared" si="73"/>
        <v>97.732861521998728</v>
      </c>
      <c r="R148" s="185">
        <f t="shared" si="73"/>
        <v>98.57480180724626</v>
      </c>
    </row>
    <row r="150" spans="1:26" s="205" customFormat="1" x14ac:dyDescent="0.25">
      <c r="A150" s="201"/>
      <c r="B150" s="202"/>
      <c r="C150" s="203"/>
      <c r="D150" s="204"/>
      <c r="E150" s="205" t="str">
        <f xml:space="preserve"> InpR!E$101</f>
        <v>WACC on RCV - CPI(H) + RPI wedge bf and additions - WR</v>
      </c>
      <c r="F150" s="205">
        <f xml:space="preserve"> InpR!F$101</f>
        <v>0</v>
      </c>
      <c r="G150" s="223" t="str">
        <f xml:space="preserve"> InpR!G$101</f>
        <v>%</v>
      </c>
      <c r="H150" s="205" t="str">
        <f xml:space="preserve"> InpR!I$101</f>
        <v>PR19 Financial model, 'Water Resources' sheet row 980</v>
      </c>
      <c r="I150" s="205" t="e">
        <f xml:space="preserve"> InpR!#REF!</f>
        <v>#REF!</v>
      </c>
      <c r="J150" s="205">
        <f xml:space="preserve"> InpR!J$101</f>
        <v>0</v>
      </c>
      <c r="K150" s="205">
        <f xml:space="preserve"> InpR!K$101</f>
        <v>0</v>
      </c>
      <c r="L150" s="205">
        <f xml:space="preserve"> InpR!L$101</f>
        <v>0</v>
      </c>
      <c r="M150" s="205">
        <f xml:space="preserve"> InpR!M$101</f>
        <v>1.920357193840716E-2</v>
      </c>
      <c r="N150" s="205">
        <f xml:space="preserve"> InpR!N$101</f>
        <v>1.920357193840716E-2</v>
      </c>
      <c r="O150" s="205">
        <f xml:space="preserve"> InpR!O$101</f>
        <v>1.920357193840716E-2</v>
      </c>
      <c r="P150" s="205">
        <f xml:space="preserve"> InpR!P$101</f>
        <v>1.920357193840716E-2</v>
      </c>
      <c r="Q150" s="205">
        <f xml:space="preserve"> InpR!Q$101</f>
        <v>1.920357193840716E-2</v>
      </c>
      <c r="R150" s="205">
        <f xml:space="preserve"> InpR!R$101</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50.83686719633544</v>
      </c>
      <c r="M152" s="246">
        <f t="shared" si="74"/>
        <v>102.02192340676874</v>
      </c>
      <c r="N152" s="246">
        <f t="shared" si="74"/>
        <v>100.76744162947919</v>
      </c>
      <c r="O152" s="246">
        <f t="shared" si="74"/>
        <v>99.713604823949879</v>
      </c>
      <c r="P152" s="246">
        <f t="shared" si="74"/>
        <v>98.718265443221838</v>
      </c>
      <c r="Q152" s="246">
        <f t="shared" si="74"/>
        <v>97.732861521998728</v>
      </c>
      <c r="R152" s="246">
        <f t="shared" si="74"/>
        <v>98.57480180724626</v>
      </c>
    </row>
    <row r="153" spans="1:26" x14ac:dyDescent="0.25">
      <c r="C153" s="278"/>
      <c r="E153" s="7" t="s">
        <v>320</v>
      </c>
      <c r="F153" s="244"/>
      <c r="G153" s="184" t="s">
        <v>88</v>
      </c>
      <c r="H153" s="244"/>
      <c r="I153" s="244"/>
      <c r="J153" s="246">
        <f t="shared" ref="J153:K153" si="75">J150*J151*J152</f>
        <v>0</v>
      </c>
      <c r="K153" s="246">
        <f t="shared" si="75"/>
        <v>0</v>
      </c>
      <c r="L153" s="246">
        <f>L150*L151*L152</f>
        <v>0</v>
      </c>
      <c r="M153" s="246">
        <f t="shared" ref="M153:R153" si="76">M150*M151*M152</f>
        <v>1.9591853454365487</v>
      </c>
      <c r="N153" s="246">
        <f t="shared" si="76"/>
        <v>1.9350948143809481</v>
      </c>
      <c r="O153" s="246">
        <f t="shared" si="76"/>
        <v>1.9148573834746248</v>
      </c>
      <c r="P153" s="246">
        <f t="shared" si="76"/>
        <v>1.8957433120736842</v>
      </c>
      <c r="Q153" s="246">
        <f t="shared" si="76"/>
        <v>1.8768200369840877</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4.2364434786707745</v>
      </c>
      <c r="N155" s="184">
        <f t="shared" si="77"/>
        <v>4.1843513305613911</v>
      </c>
      <c r="O155" s="184">
        <f t="shared" si="77"/>
        <v>4.1405909316854785</v>
      </c>
      <c r="P155" s="184">
        <f t="shared" si="77"/>
        <v>4.0992596286895804</v>
      </c>
      <c r="Q155" s="184">
        <f t="shared" si="77"/>
        <v>4.0583408940047052</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1.9591853454365487</v>
      </c>
      <c r="N156" s="184">
        <f t="shared" si="78"/>
        <v>1.9350948143809481</v>
      </c>
      <c r="O156" s="184">
        <f t="shared" si="78"/>
        <v>1.9148573834746248</v>
      </c>
      <c r="P156" s="184">
        <f t="shared" si="78"/>
        <v>1.8957433120736842</v>
      </c>
      <c r="Q156" s="184">
        <f t="shared" si="78"/>
        <v>1.8768200369840877</v>
      </c>
      <c r="R156" s="184">
        <f t="shared" si="78"/>
        <v>0</v>
      </c>
    </row>
    <row r="157" spans="1:26" x14ac:dyDescent="0.25">
      <c r="C157" s="278"/>
      <c r="E157" s="7" t="s">
        <v>321</v>
      </c>
      <c r="F157" s="244"/>
      <c r="G157" s="184" t="str">
        <f t="shared" ref="G157" si="79">G$155</f>
        <v>£m</v>
      </c>
      <c r="H157" s="244">
        <f>SUM(J157:R157)</f>
        <v>30.300687155961821</v>
      </c>
      <c r="I157" s="244"/>
      <c r="J157" s="244">
        <f t="shared" ref="J157:R157" si="80">SUM(J155:J156)</f>
        <v>0</v>
      </c>
      <c r="K157" s="244">
        <f t="shared" si="80"/>
        <v>0</v>
      </c>
      <c r="L157" s="244">
        <f>SUM(L155:L156)</f>
        <v>0</v>
      </c>
      <c r="M157" s="244">
        <f t="shared" si="80"/>
        <v>6.195628824107323</v>
      </c>
      <c r="N157" s="244">
        <f t="shared" si="80"/>
        <v>6.119446144942339</v>
      </c>
      <c r="O157" s="244">
        <f t="shared" si="80"/>
        <v>6.0554483151601035</v>
      </c>
      <c r="P157" s="244">
        <f t="shared" si="80"/>
        <v>5.9950029407632641</v>
      </c>
      <c r="Q157" s="244">
        <f t="shared" si="80"/>
        <v>5.9351609309887934</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30.300687155961821</v>
      </c>
      <c r="I159" s="184">
        <f t="shared" si="81"/>
        <v>0</v>
      </c>
      <c r="J159" s="184">
        <f t="shared" si="81"/>
        <v>0</v>
      </c>
      <c r="K159" s="184">
        <f t="shared" si="81"/>
        <v>0</v>
      </c>
      <c r="L159" s="184">
        <f t="shared" si="81"/>
        <v>0</v>
      </c>
      <c r="M159" s="184">
        <f t="shared" si="81"/>
        <v>6.195628824107323</v>
      </c>
      <c r="N159" s="184">
        <f t="shared" si="81"/>
        <v>6.119446144942339</v>
      </c>
      <c r="O159" s="184">
        <f t="shared" si="81"/>
        <v>6.0554483151601035</v>
      </c>
      <c r="P159" s="184">
        <f t="shared" si="81"/>
        <v>5.9950029407632641</v>
      </c>
      <c r="Q159" s="184">
        <f t="shared" si="81"/>
        <v>5.9351609309887934</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31.19224557931933</v>
      </c>
      <c r="I160" s="184">
        <f t="shared" si="82"/>
        <v>0</v>
      </c>
      <c r="J160" s="184">
        <f t="shared" si="82"/>
        <v>0</v>
      </c>
      <c r="K160" s="184">
        <f t="shared" si="82"/>
        <v>0</v>
      </c>
      <c r="L160" s="184">
        <f t="shared" si="82"/>
        <v>0</v>
      </c>
      <c r="M160" s="184">
        <f t="shared" si="82"/>
        <v>6.1729532604346744</v>
      </c>
      <c r="N160" s="184">
        <f t="shared" si="82"/>
        <v>6.1650272652548868</v>
      </c>
      <c r="O160" s="184">
        <f t="shared" si="82"/>
        <v>6.2794327664163907</v>
      </c>
      <c r="P160" s="184">
        <f t="shared" si="82"/>
        <v>6.3094235118242032</v>
      </c>
      <c r="Q160" s="184">
        <f t="shared" si="82"/>
        <v>6.2654087753891758</v>
      </c>
      <c r="R160" s="184">
        <f t="shared" si="82"/>
        <v>0</v>
      </c>
    </row>
    <row r="161" spans="1:16383" s="185" customFormat="1" x14ac:dyDescent="0.25">
      <c r="A161" s="252"/>
      <c r="B161" s="181"/>
      <c r="C161" s="182"/>
      <c r="D161" s="253"/>
      <c r="E161" s="7" t="s">
        <v>268</v>
      </c>
      <c r="G161" s="185" t="str">
        <f t="shared" ref="G161" si="83" xml:space="preserve"> G$153</f>
        <v>£m</v>
      </c>
      <c r="H161" s="185">
        <f xml:space="preserve"> SUM(J161:R161)</f>
        <v>0.89155842335750801</v>
      </c>
      <c r="J161" s="185">
        <f t="shared" ref="J161:K161" si="84">J160-J159</f>
        <v>0</v>
      </c>
      <c r="K161" s="185">
        <f t="shared" si="84"/>
        <v>0</v>
      </c>
      <c r="L161" s="185">
        <f>L160-L159</f>
        <v>0</v>
      </c>
      <c r="M161" s="185">
        <f>M160-M159</f>
        <v>-2.2675563672648558E-2</v>
      </c>
      <c r="N161" s="185">
        <f t="shared" ref="N161:R161" si="85">N160-N159</f>
        <v>4.5581120312547796E-2</v>
      </c>
      <c r="O161" s="185">
        <f t="shared" si="85"/>
        <v>0.22398445125628719</v>
      </c>
      <c r="P161" s="185">
        <f t="shared" si="85"/>
        <v>0.31442057106093912</v>
      </c>
      <c r="Q161" s="185">
        <f t="shared" si="85"/>
        <v>0.33024784440038246</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0.89155842335750801</v>
      </c>
      <c r="I163" s="248">
        <f t="shared" si="86"/>
        <v>0</v>
      </c>
      <c r="J163" s="248">
        <f t="shared" si="86"/>
        <v>0</v>
      </c>
      <c r="K163" s="248">
        <f t="shared" si="86"/>
        <v>0</v>
      </c>
      <c r="L163" s="248">
        <f t="shared" si="86"/>
        <v>0</v>
      </c>
      <c r="M163" s="248">
        <f t="shared" si="86"/>
        <v>-2.2675563672648558E-2</v>
      </c>
      <c r="N163" s="248">
        <f t="shared" si="86"/>
        <v>4.5581120312547796E-2</v>
      </c>
      <c r="O163" s="248">
        <f t="shared" si="86"/>
        <v>0.22398445125628719</v>
      </c>
      <c r="P163" s="248">
        <f t="shared" si="86"/>
        <v>0.31442057106093912</v>
      </c>
      <c r="Q163" s="248">
        <f t="shared" si="86"/>
        <v>0.33024784440038246</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0.89155842335750801</v>
      </c>
      <c r="I164" s="248">
        <f t="shared" si="87"/>
        <v>0</v>
      </c>
      <c r="J164" s="248">
        <f t="shared" si="87"/>
        <v>0</v>
      </c>
      <c r="K164" s="248">
        <f t="shared" si="87"/>
        <v>0</v>
      </c>
      <c r="L164" s="248">
        <f t="shared" si="87"/>
        <v>0</v>
      </c>
      <c r="M164" s="248">
        <f t="shared" si="87"/>
        <v>-2.2675563672648558E-2</v>
      </c>
      <c r="N164" s="248">
        <f t="shared" si="87"/>
        <v>4.5581120312547796E-2</v>
      </c>
      <c r="O164" s="248">
        <f t="shared" si="87"/>
        <v>0.22398445125628719</v>
      </c>
      <c r="P164" s="248">
        <f t="shared" si="87"/>
        <v>0.31442057106093912</v>
      </c>
      <c r="Q164" s="248">
        <f t="shared" si="87"/>
        <v>0.33024784440038246</v>
      </c>
      <c r="R164" s="248">
        <f t="shared" si="87"/>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278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50.83686719633544</v>
      </c>
      <c r="M169" s="185">
        <f t="shared" si="90"/>
        <v>102.02192340676874</v>
      </c>
      <c r="N169" s="184">
        <f t="shared" si="90"/>
        <v>100.76744162947919</v>
      </c>
      <c r="O169" s="184">
        <f t="shared" si="90"/>
        <v>99.713604823949879</v>
      </c>
      <c r="P169" s="184">
        <f t="shared" si="90"/>
        <v>98.718265443221838</v>
      </c>
      <c r="Q169" s="184">
        <f t="shared" si="90"/>
        <v>97.732861521998728</v>
      </c>
      <c r="R169" s="184">
        <f t="shared" si="90"/>
        <v>98.57480180724626</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50.83686719633544</v>
      </c>
      <c r="M170" s="185">
        <f t="shared" si="91"/>
        <v>101.64853037663518</v>
      </c>
      <c r="N170" s="184">
        <f t="shared" si="91"/>
        <v>101.51801492838749</v>
      </c>
      <c r="O170" s="184">
        <f t="shared" si="91"/>
        <v>103.40190268347644</v>
      </c>
      <c r="P170" s="184">
        <f t="shared" si="91"/>
        <v>103.89575304439578</v>
      </c>
      <c r="Q170" s="184">
        <f t="shared" si="91"/>
        <v>103.17097301046749</v>
      </c>
      <c r="R170" s="184">
        <f t="shared" si="91"/>
        <v>103.04947210833089</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48.806379295634002</v>
      </c>
      <c r="M172" s="184">
        <f t="shared" si="92"/>
        <v>96.042174533227978</v>
      </c>
      <c r="N172" s="184">
        <f t="shared" si="92"/>
        <v>92.997369229278618</v>
      </c>
      <c r="O172" s="184">
        <f t="shared" si="92"/>
        <v>90.153984663375681</v>
      </c>
      <c r="P172" s="184">
        <f t="shared" si="92"/>
        <v>87.418285246184155</v>
      </c>
      <c r="Q172" s="184">
        <f t="shared" si="92"/>
        <v>84.765599922370228</v>
      </c>
      <c r="R172" s="184">
        <f t="shared" si="92"/>
        <v>83.819442162768965</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48.806379295634002</v>
      </c>
      <c r="M173" s="184">
        <f t="shared" si="92"/>
        <v>95.69066696140348</v>
      </c>
      <c r="N173" s="184">
        <f t="shared" si="92"/>
        <v>93.690066603385532</v>
      </c>
      <c r="O173" s="184">
        <f t="shared" si="92"/>
        <v>93.488682563915859</v>
      </c>
      <c r="P173" s="184">
        <f t="shared" si="92"/>
        <v>92.003121557335945</v>
      </c>
      <c r="Q173" s="184">
        <f t="shared" si="92"/>
        <v>89.482179132127939</v>
      </c>
      <c r="R173" s="184">
        <f t="shared" si="92"/>
        <v>87.624312795251953</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-0.35150757182449865</v>
      </c>
      <c r="N174" s="185">
        <f t="shared" si="93"/>
        <v>0.69269737410691334</v>
      </c>
      <c r="O174" s="185">
        <f t="shared" si="93"/>
        <v>3.3346979005401778</v>
      </c>
      <c r="P174" s="185">
        <f t="shared" si="93"/>
        <v>4.5848363111517898</v>
      </c>
      <c r="Q174" s="185">
        <f t="shared" si="93"/>
        <v>4.7165792097577111</v>
      </c>
      <c r="R174" s="185">
        <f t="shared" si="93"/>
        <v>3.804870632482988</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-0.35150757182449865</v>
      </c>
      <c r="N176" s="185">
        <f t="shared" si="94"/>
        <v>0.69269737410691334</v>
      </c>
      <c r="O176" s="185">
        <f t="shared" si="94"/>
        <v>3.3346979005401778</v>
      </c>
      <c r="P176" s="185">
        <f t="shared" si="94"/>
        <v>4.5848363111517898</v>
      </c>
      <c r="Q176" s="185">
        <f t="shared" si="94"/>
        <v>4.7165792097577111</v>
      </c>
      <c r="R176" s="185">
        <f t="shared" si="94"/>
        <v>3.804870632482988</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353</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4.7165792097577111</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4.2364434786707745</v>
      </c>
      <c r="N182" s="184">
        <f t="shared" si="96"/>
        <v>4.1843513305613911</v>
      </c>
      <c r="O182" s="184">
        <f t="shared" si="96"/>
        <v>4.1405909316854785</v>
      </c>
      <c r="P182" s="184">
        <f t="shared" si="96"/>
        <v>4.0992596286895804</v>
      </c>
      <c r="Q182" s="184">
        <f t="shared" si="96"/>
        <v>4.0583408940047052</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1.9591853454365487</v>
      </c>
      <c r="N183" s="184">
        <f t="shared" si="97"/>
        <v>1.9350948143809481</v>
      </c>
      <c r="O183" s="184">
        <f t="shared" si="97"/>
        <v>1.9148573834746248</v>
      </c>
      <c r="P183" s="184">
        <f t="shared" si="97"/>
        <v>1.8957433120736842</v>
      </c>
      <c r="Q183" s="184">
        <f t="shared" si="97"/>
        <v>1.8768200369840877</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30.300687155961821</v>
      </c>
      <c r="I184" s="184">
        <f t="shared" si="98"/>
        <v>0</v>
      </c>
      <c r="J184" s="184">
        <f t="shared" si="98"/>
        <v>0</v>
      </c>
      <c r="K184" s="184">
        <f t="shared" si="98"/>
        <v>0</v>
      </c>
      <c r="L184" s="184">
        <f t="shared" si="98"/>
        <v>0</v>
      </c>
      <c r="M184" s="184">
        <f t="shared" si="98"/>
        <v>6.195628824107323</v>
      </c>
      <c r="N184" s="184">
        <f t="shared" si="98"/>
        <v>6.119446144942339</v>
      </c>
      <c r="O184" s="184">
        <f t="shared" si="98"/>
        <v>6.0554483151601035</v>
      </c>
      <c r="P184" s="184">
        <f t="shared" si="98"/>
        <v>5.9950029407632641</v>
      </c>
      <c r="Q184" s="184">
        <f t="shared" si="98"/>
        <v>5.9351609309887934</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4.2209383949135955</v>
      </c>
      <c r="N185" s="184">
        <f t="shared" si="99"/>
        <v>4.2155187625333062</v>
      </c>
      <c r="O185" s="184">
        <f t="shared" si="99"/>
        <v>4.2937468896660747</v>
      </c>
      <c r="P185" s="184">
        <f t="shared" si="99"/>
        <v>4.3142539441411643</v>
      </c>
      <c r="Q185" s="184">
        <f t="shared" si="99"/>
        <v>4.2841575732271995</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1.9520148655210792</v>
      </c>
      <c r="N186" s="184">
        <f t="shared" si="100"/>
        <v>1.949508502721581</v>
      </c>
      <c r="O186" s="184">
        <f t="shared" si="100"/>
        <v>1.985685876750316</v>
      </c>
      <c r="P186" s="184">
        <f t="shared" si="100"/>
        <v>1.995169567683039</v>
      </c>
      <c r="Q186" s="184">
        <f t="shared" si="100"/>
        <v>1.9812512021619759</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31.19224557931933</v>
      </c>
      <c r="I187" s="184">
        <f t="shared" si="101"/>
        <v>0</v>
      </c>
      <c r="J187" s="184">
        <f t="shared" si="101"/>
        <v>0</v>
      </c>
      <c r="K187" s="184">
        <f t="shared" si="101"/>
        <v>0</v>
      </c>
      <c r="L187" s="184">
        <f t="shared" si="101"/>
        <v>0</v>
      </c>
      <c r="M187" s="184">
        <f t="shared" si="101"/>
        <v>6.1729532604346744</v>
      </c>
      <c r="N187" s="184">
        <f t="shared" si="101"/>
        <v>6.1650272652548868</v>
      </c>
      <c r="O187" s="184">
        <f t="shared" si="101"/>
        <v>6.2794327664163907</v>
      </c>
      <c r="P187" s="184">
        <f t="shared" si="101"/>
        <v>6.3094235118242032</v>
      </c>
      <c r="Q187" s="184">
        <f t="shared" si="101"/>
        <v>6.2654087753891758</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18.743372369262381</v>
      </c>
      <c r="I189" s="184"/>
      <c r="J189" s="184">
        <f t="shared" ref="J189:R194" si="105" xml:space="preserve"> IF(J$188 = 0, 0, J182 / J$188)</f>
        <v>0</v>
      </c>
      <c r="K189" s="184">
        <f t="shared" si="105"/>
        <v>0</v>
      </c>
      <c r="L189" s="184">
        <f t="shared" si="105"/>
        <v>0</v>
      </c>
      <c r="M189" s="185">
        <f t="shared" si="105"/>
        <v>3.9881353967068942</v>
      </c>
      <c r="N189" s="184">
        <f t="shared" si="105"/>
        <v>3.861700360559726</v>
      </c>
      <c r="O189" s="184">
        <f t="shared" si="105"/>
        <v>3.7436292872126269</v>
      </c>
      <c r="P189" s="184">
        <f t="shared" si="105"/>
        <v>3.6300298218373688</v>
      </c>
      <c r="Q189" s="184">
        <f t="shared" si="105"/>
        <v>3.5198775029457652</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8.6680586333329259</v>
      </c>
      <c r="I190" s="184"/>
      <c r="J190" s="184">
        <f t="shared" si="105"/>
        <v>0</v>
      </c>
      <c r="K190" s="184">
        <f t="shared" si="105"/>
        <v>0</v>
      </c>
      <c r="L190" s="184">
        <f t="shared" si="105"/>
        <v>0</v>
      </c>
      <c r="M190" s="185">
        <f t="shared" si="105"/>
        <v>1.8443528077698996</v>
      </c>
      <c r="N190" s="184">
        <f xml:space="preserve"> IF(N$188 = 0, 0, N183 / N$188)</f>
        <v>1.7858816700770643</v>
      </c>
      <c r="O190" s="184">
        <f t="shared" si="105"/>
        <v>1.7312785300171907</v>
      </c>
      <c r="P190" s="184">
        <f t="shared" si="105"/>
        <v>1.6787433294572947</v>
      </c>
      <c r="Q190" s="184">
        <f t="shared" si="105"/>
        <v>1.6278022960114771</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27.411431002595304</v>
      </c>
      <c r="I191" s="184"/>
      <c r="J191" s="184">
        <f t="shared" si="105"/>
        <v>0</v>
      </c>
      <c r="K191" s="184">
        <f t="shared" si="105"/>
        <v>0</v>
      </c>
      <c r="L191" s="184">
        <f t="shared" si="105"/>
        <v>0</v>
      </c>
      <c r="M191" s="185">
        <f t="shared" si="105"/>
        <v>5.8324882044767934</v>
      </c>
      <c r="N191" s="184">
        <f t="shared" si="105"/>
        <v>5.6475820306367899</v>
      </c>
      <c r="O191" s="184">
        <f t="shared" si="105"/>
        <v>5.474907817229818</v>
      </c>
      <c r="P191" s="184">
        <f t="shared" si="105"/>
        <v>5.3087731512946634</v>
      </c>
      <c r="Q191" s="184">
        <f t="shared" si="105"/>
        <v>5.1476797989572427</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19.282252737099729</v>
      </c>
      <c r="I192" s="184"/>
      <c r="J192" s="184">
        <f t="shared" si="105"/>
        <v>0</v>
      </c>
      <c r="K192" s="184">
        <f t="shared" si="105"/>
        <v>0</v>
      </c>
      <c r="L192" s="184">
        <f t="shared" si="105"/>
        <v>0</v>
      </c>
      <c r="M192" s="185">
        <f t="shared" si="105"/>
        <v>3.9735391029826328</v>
      </c>
      <c r="N192" s="184">
        <f t="shared" si="105"/>
        <v>3.8904645043362276</v>
      </c>
      <c r="O192" s="184">
        <f t="shared" si="105"/>
        <v>3.882102065438481</v>
      </c>
      <c r="P192" s="184">
        <f t="shared" si="105"/>
        <v>3.820414390590396</v>
      </c>
      <c r="Q192" s="184">
        <f t="shared" si="105"/>
        <v>3.7157326737519902</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8.9172692093563892</v>
      </c>
      <c r="I193" s="184"/>
      <c r="J193" s="184">
        <f t="shared" si="105"/>
        <v>0</v>
      </c>
      <c r="K193" s="184">
        <f t="shared" si="105"/>
        <v>0</v>
      </c>
      <c r="L193" s="184">
        <f t="shared" si="105"/>
        <v>0</v>
      </c>
      <c r="M193" s="185">
        <f t="shared" si="105"/>
        <v>1.8376026068274731</v>
      </c>
      <c r="N193" s="184">
        <f t="shared" si="105"/>
        <v>1.7991839339322722</v>
      </c>
      <c r="O193" s="184">
        <f t="shared" si="105"/>
        <v>1.7953166410430692</v>
      </c>
      <c r="P193" s="184">
        <f t="shared" si="105"/>
        <v>1.7667885633843194</v>
      </c>
      <c r="Q193" s="184">
        <f t="shared" si="105"/>
        <v>1.7183774641692546</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28.199521946456116</v>
      </c>
      <c r="I194" s="184"/>
      <c r="J194" s="184">
        <f t="shared" si="105"/>
        <v>0</v>
      </c>
      <c r="K194" s="184">
        <f t="shared" si="105"/>
        <v>0</v>
      </c>
      <c r="L194" s="184">
        <f t="shared" si="105"/>
        <v>0</v>
      </c>
      <c r="M194" s="185">
        <f t="shared" si="105"/>
        <v>5.8111417098101059</v>
      </c>
      <c r="N194" s="184">
        <f t="shared" si="105"/>
        <v>5.6896484382684998</v>
      </c>
      <c r="O194" s="184">
        <f t="shared" si="105"/>
        <v>5.67741870648155</v>
      </c>
      <c r="P194" s="184">
        <f t="shared" si="105"/>
        <v>5.5872029539747157</v>
      </c>
      <c r="Q194" s="184">
        <f t="shared" si="105"/>
        <v>5.4341101379212455</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18.743372369262381</v>
      </c>
      <c r="I196" s="247">
        <f t="shared" si="106"/>
        <v>0</v>
      </c>
      <c r="J196" s="184">
        <f t="shared" si="106"/>
        <v>0</v>
      </c>
      <c r="K196" s="184">
        <f t="shared" si="106"/>
        <v>0</v>
      </c>
      <c r="L196" s="184">
        <f t="shared" si="106"/>
        <v>0</v>
      </c>
      <c r="M196" s="185">
        <f t="shared" si="106"/>
        <v>3.9881353967068942</v>
      </c>
      <c r="N196" s="184">
        <f t="shared" si="106"/>
        <v>3.861700360559726</v>
      </c>
      <c r="O196" s="184">
        <f t="shared" si="106"/>
        <v>3.7436292872126269</v>
      </c>
      <c r="P196" s="184">
        <f t="shared" si="106"/>
        <v>3.6300298218373688</v>
      </c>
      <c r="Q196" s="184">
        <f t="shared" si="106"/>
        <v>3.5198775029457652</v>
      </c>
      <c r="R196" s="184">
        <f t="shared" si="106"/>
        <v>0</v>
      </c>
    </row>
    <row r="197" spans="1:26" x14ac:dyDescent="0.25">
      <c r="E197" s="7" t="str">
        <f>E$192</f>
        <v>RCV run-off company should have received- real</v>
      </c>
      <c r="F197" s="184">
        <f t="shared" ref="F197:R197" si="107">F$192</f>
        <v>0</v>
      </c>
      <c r="G197" s="7" t="str">
        <f t="shared" si="107"/>
        <v>£m</v>
      </c>
      <c r="H197" s="247">
        <f t="shared" si="107"/>
        <v>19.282252737099729</v>
      </c>
      <c r="I197" s="247">
        <f t="shared" si="107"/>
        <v>0</v>
      </c>
      <c r="J197" s="184">
        <f t="shared" si="107"/>
        <v>0</v>
      </c>
      <c r="K197" s="184">
        <f t="shared" si="107"/>
        <v>0</v>
      </c>
      <c r="L197" s="184">
        <f t="shared" si="107"/>
        <v>0</v>
      </c>
      <c r="M197" s="185">
        <f t="shared" si="107"/>
        <v>3.9735391029826328</v>
      </c>
      <c r="N197" s="184">
        <f t="shared" si="107"/>
        <v>3.8904645043362276</v>
      </c>
      <c r="O197" s="184">
        <f t="shared" si="107"/>
        <v>3.882102065438481</v>
      </c>
      <c r="P197" s="184">
        <f t="shared" si="107"/>
        <v>3.820414390590396</v>
      </c>
      <c r="Q197" s="184">
        <f t="shared" si="107"/>
        <v>3.7157326737519902</v>
      </c>
      <c r="R197" s="184">
        <f t="shared" si="107"/>
        <v>0</v>
      </c>
    </row>
    <row r="198" spans="1:26" x14ac:dyDescent="0.25">
      <c r="C198" s="278"/>
      <c r="E198" s="7" t="s">
        <v>269</v>
      </c>
      <c r="G198" s="7" t="s">
        <v>88</v>
      </c>
      <c r="H198" s="185">
        <f xml:space="preserve"> SUM(J198:R198)</f>
        <v>0.53888036783734661</v>
      </c>
      <c r="I198" s="185"/>
      <c r="J198" s="184">
        <f t="shared" ref="J198:K198" si="108">J197-J196</f>
        <v>0</v>
      </c>
      <c r="K198" s="184">
        <f t="shared" si="108"/>
        <v>0</v>
      </c>
      <c r="L198" s="184">
        <f>L197-L196</f>
        <v>0</v>
      </c>
      <c r="M198" s="185">
        <f>M197-M196</f>
        <v>-1.4596293724261411E-2</v>
      </c>
      <c r="N198" s="184">
        <f t="shared" ref="N198:R198" si="109">N197-N196</f>
        <v>2.8764143776501605E-2</v>
      </c>
      <c r="O198" s="184">
        <f t="shared" si="109"/>
        <v>0.13847277822585413</v>
      </c>
      <c r="P198" s="184">
        <f t="shared" si="109"/>
        <v>0.19038456875302723</v>
      </c>
      <c r="Q198" s="184">
        <f t="shared" si="109"/>
        <v>0.19585517080622505</v>
      </c>
      <c r="R198" s="184">
        <f t="shared" si="109"/>
        <v>0</v>
      </c>
    </row>
    <row r="200" spans="1:26" x14ac:dyDescent="0.25">
      <c r="E200" s="7" t="str">
        <f>E$190</f>
        <v>True up Nominal return- real</v>
      </c>
      <c r="F200" s="184">
        <f t="shared" ref="F200:R200" si="110">F$190</f>
        <v>0</v>
      </c>
      <c r="G200" s="7" t="str">
        <f t="shared" si="110"/>
        <v>£m</v>
      </c>
      <c r="H200" s="247">
        <f t="shared" si="110"/>
        <v>8.6680586333329259</v>
      </c>
      <c r="I200" s="247">
        <f t="shared" si="110"/>
        <v>0</v>
      </c>
      <c r="J200" s="184">
        <f t="shared" si="110"/>
        <v>0</v>
      </c>
      <c r="K200" s="184">
        <f t="shared" si="110"/>
        <v>0</v>
      </c>
      <c r="L200" s="184">
        <f t="shared" si="110"/>
        <v>0</v>
      </c>
      <c r="M200" s="185">
        <f t="shared" si="110"/>
        <v>1.8443528077698996</v>
      </c>
      <c r="N200" s="184">
        <f t="shared" si="110"/>
        <v>1.7858816700770643</v>
      </c>
      <c r="O200" s="184">
        <f t="shared" si="110"/>
        <v>1.7312785300171907</v>
      </c>
      <c r="P200" s="184">
        <f t="shared" si="110"/>
        <v>1.6787433294572947</v>
      </c>
      <c r="Q200" s="184">
        <f t="shared" si="110"/>
        <v>1.6278022960114771</v>
      </c>
      <c r="R200" s="184">
        <f t="shared" si="110"/>
        <v>0</v>
      </c>
    </row>
    <row r="201" spans="1:26" x14ac:dyDescent="0.25">
      <c r="E201" s="7" t="str">
        <f>E$193</f>
        <v>Nominal return company should have received- real</v>
      </c>
      <c r="F201" s="184">
        <f t="shared" ref="F201:R201" si="111">F$193</f>
        <v>0</v>
      </c>
      <c r="G201" s="7" t="str">
        <f t="shared" si="111"/>
        <v>£m</v>
      </c>
      <c r="H201" s="247">
        <f t="shared" si="111"/>
        <v>8.9172692093563892</v>
      </c>
      <c r="I201" s="247">
        <f t="shared" si="111"/>
        <v>0</v>
      </c>
      <c r="J201" s="184">
        <f t="shared" si="111"/>
        <v>0</v>
      </c>
      <c r="K201" s="184">
        <f t="shared" si="111"/>
        <v>0</v>
      </c>
      <c r="L201" s="184">
        <f t="shared" si="111"/>
        <v>0</v>
      </c>
      <c r="M201" s="185">
        <f t="shared" si="111"/>
        <v>1.8376026068274731</v>
      </c>
      <c r="N201" s="184">
        <f t="shared" si="111"/>
        <v>1.7991839339322722</v>
      </c>
      <c r="O201" s="184">
        <f t="shared" si="111"/>
        <v>1.7953166410430692</v>
      </c>
      <c r="P201" s="184">
        <f t="shared" si="111"/>
        <v>1.7667885633843194</v>
      </c>
      <c r="Q201" s="184">
        <f t="shared" si="111"/>
        <v>1.7183774641692546</v>
      </c>
      <c r="R201" s="184">
        <f t="shared" si="111"/>
        <v>0</v>
      </c>
    </row>
    <row r="202" spans="1:26" x14ac:dyDescent="0.25">
      <c r="C202" s="278"/>
      <c r="E202" s="7" t="s">
        <v>276</v>
      </c>
      <c r="G202" s="7" t="s">
        <v>88</v>
      </c>
      <c r="H202" s="185">
        <f xml:space="preserve"> SUM(J202:R202)</f>
        <v>0.24921057602346219</v>
      </c>
      <c r="I202" s="185"/>
      <c r="J202" s="184">
        <f t="shared" ref="J202:K202" si="112">J201-J200</f>
        <v>0</v>
      </c>
      <c r="K202" s="184">
        <f t="shared" si="112"/>
        <v>0</v>
      </c>
      <c r="L202" s="184">
        <f>L201-L200</f>
        <v>0</v>
      </c>
      <c r="M202" s="185">
        <f>M201-M200</f>
        <v>-6.7502009424265097E-3</v>
      </c>
      <c r="N202" s="184">
        <f t="shared" ref="N202:R202" si="113">N201-N200</f>
        <v>1.330226385520783E-2</v>
      </c>
      <c r="O202" s="184">
        <f>O201-O200</f>
        <v>6.403811102587853E-2</v>
      </c>
      <c r="P202" s="184">
        <f t="shared" si="113"/>
        <v>8.8045233927024791E-2</v>
      </c>
      <c r="Q202" s="184">
        <f t="shared" si="113"/>
        <v>9.0575168157777552E-2</v>
      </c>
      <c r="R202" s="184">
        <f t="shared" si="113"/>
        <v>0</v>
      </c>
    </row>
    <row r="204" spans="1:26" x14ac:dyDescent="0.25">
      <c r="E204" s="7" t="str">
        <f>E$191</f>
        <v>Total True up Nominal revenue to company- real</v>
      </c>
      <c r="F204" s="184">
        <f t="shared" ref="F204:R204" si="114">F$191</f>
        <v>0</v>
      </c>
      <c r="G204" s="7" t="str">
        <f t="shared" si="114"/>
        <v>£m</v>
      </c>
      <c r="H204" s="247">
        <f t="shared" si="114"/>
        <v>27.411431002595304</v>
      </c>
      <c r="I204" s="247"/>
      <c r="J204" s="184">
        <f t="shared" si="114"/>
        <v>0</v>
      </c>
      <c r="K204" s="184">
        <f t="shared" si="114"/>
        <v>0</v>
      </c>
      <c r="L204" s="184">
        <f t="shared" si="114"/>
        <v>0</v>
      </c>
      <c r="M204" s="185">
        <f t="shared" si="114"/>
        <v>5.8324882044767934</v>
      </c>
      <c r="N204" s="184">
        <f t="shared" si="114"/>
        <v>5.6475820306367899</v>
      </c>
      <c r="O204" s="184">
        <f t="shared" si="114"/>
        <v>5.474907817229818</v>
      </c>
      <c r="P204" s="184">
        <f t="shared" si="114"/>
        <v>5.3087731512946634</v>
      </c>
      <c r="Q204" s="184">
        <f t="shared" si="114"/>
        <v>5.1476797989572427</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28.199521946456116</v>
      </c>
      <c r="I205" s="247"/>
      <c r="J205" s="184">
        <f t="shared" si="115"/>
        <v>0</v>
      </c>
      <c r="K205" s="184">
        <f t="shared" si="115"/>
        <v>0</v>
      </c>
      <c r="L205" s="184">
        <f t="shared" si="115"/>
        <v>0</v>
      </c>
      <c r="M205" s="185">
        <f t="shared" si="115"/>
        <v>5.8111417098101059</v>
      </c>
      <c r="N205" s="184">
        <f t="shared" si="115"/>
        <v>5.6896484382684998</v>
      </c>
      <c r="O205" s="184">
        <f t="shared" si="115"/>
        <v>5.67741870648155</v>
      </c>
      <c r="P205" s="184">
        <f t="shared" si="115"/>
        <v>5.5872029539747157</v>
      </c>
      <c r="Q205" s="184">
        <f t="shared" si="115"/>
        <v>5.4341101379212455</v>
      </c>
      <c r="R205" s="184">
        <f t="shared" si="115"/>
        <v>0</v>
      </c>
    </row>
    <row r="206" spans="1:26" x14ac:dyDescent="0.25">
      <c r="C206" s="278"/>
      <c r="E206" s="7" t="s">
        <v>322</v>
      </c>
      <c r="G206" s="7" t="s">
        <v>88</v>
      </c>
      <c r="H206" s="185">
        <f xml:space="preserve"> SUM(J206:R206)</f>
        <v>0.78809094386080947</v>
      </c>
      <c r="I206" s="185"/>
      <c r="J206" s="184">
        <f t="shared" ref="J206:K206" si="116">J205-J204</f>
        <v>0</v>
      </c>
      <c r="K206" s="184">
        <f t="shared" si="116"/>
        <v>0</v>
      </c>
      <c r="L206" s="184">
        <f>L205-L204</f>
        <v>0</v>
      </c>
      <c r="M206" s="185">
        <f>M205-M204</f>
        <v>-2.1346494666687477E-2</v>
      </c>
      <c r="N206" s="184">
        <f t="shared" ref="N206:R206" si="117">N205-N204</f>
        <v>4.2066407631709879E-2</v>
      </c>
      <c r="O206" s="184">
        <f t="shared" si="117"/>
        <v>0.202510889251732</v>
      </c>
      <c r="P206" s="184">
        <f t="shared" si="117"/>
        <v>0.27842980268005224</v>
      </c>
      <c r="Q206" s="184">
        <f t="shared" si="117"/>
        <v>0.28643033896400283</v>
      </c>
      <c r="R206" s="184">
        <f t="shared" si="117"/>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InpR!E$108</f>
        <v>WACC real on RCV - CPI(H) bf and additions - WR</v>
      </c>
      <c r="F210" s="205">
        <f>InpR!F$108</f>
        <v>0</v>
      </c>
      <c r="G210" s="223" t="str">
        <f>InpR!G$108</f>
        <v>%</v>
      </c>
      <c r="H210" s="205" t="str">
        <f>InpR!I$108</f>
        <v>PR19 Financial model, 'Water Resources' sheet row 860</v>
      </c>
      <c r="I210" s="205" t="e">
        <f>InpR!#REF!</f>
        <v>#REF!</v>
      </c>
      <c r="J210" s="205">
        <f>InpR!J$108</f>
        <v>0</v>
      </c>
      <c r="K210" s="205">
        <f>InpR!K$108</f>
        <v>0</v>
      </c>
      <c r="L210" s="205">
        <f>InpR!L$108</f>
        <v>0</v>
      </c>
      <c r="M210" s="205">
        <f>InpR!M$108</f>
        <v>2.9195763820156317E-2</v>
      </c>
      <c r="N210" s="205">
        <f>InpR!N$108</f>
        <v>2.9195763820156317E-2</v>
      </c>
      <c r="O210" s="205">
        <f>InpR!O$108</f>
        <v>2.9195763820156317E-2</v>
      </c>
      <c r="P210" s="205">
        <f>InpR!P$108</f>
        <v>2.9195763820156317E-2</v>
      </c>
      <c r="Q210" s="205">
        <f>InpR!Q$108</f>
        <v>2.9195763820156317E-2</v>
      </c>
      <c r="R210" s="205">
        <f>InpR!R$108</f>
        <v>0</v>
      </c>
    </row>
    <row r="211" spans="1:18" x14ac:dyDescent="0.25">
      <c r="E211" s="7" t="s">
        <v>272</v>
      </c>
      <c r="G211" s="7" t="s">
        <v>273</v>
      </c>
      <c r="J211" s="255">
        <f xml:space="preserve"> (1 + J$210) ^ J$209</f>
        <v>1</v>
      </c>
      <c r="K211" s="255">
        <f t="shared" ref="K211:R211" si="118" xml:space="preserve"> (1 + K$210) ^ K$209</f>
        <v>1</v>
      </c>
      <c r="L211" s="255">
        <f t="shared" si="118"/>
        <v>1</v>
      </c>
      <c r="M211" s="255">
        <f t="shared" si="118"/>
        <v>1.1219976826191176</v>
      </c>
      <c r="N211" s="255">
        <f t="shared" si="118"/>
        <v>1.0901693555893588</v>
      </c>
      <c r="O211" s="255">
        <f t="shared" si="118"/>
        <v>1.059243920265355</v>
      </c>
      <c r="P211" s="255">
        <f t="shared" si="118"/>
        <v>1.0291957638201563</v>
      </c>
      <c r="Q211" s="255">
        <f t="shared" si="118"/>
        <v>1</v>
      </c>
      <c r="R211" s="255">
        <f t="shared" si="118"/>
        <v>1</v>
      </c>
    </row>
    <row r="213" spans="1:18" x14ac:dyDescent="0.25">
      <c r="B213" s="61" t="s">
        <v>274</v>
      </c>
    </row>
    <row r="214" spans="1:18" x14ac:dyDescent="0.25">
      <c r="E214" s="7" t="str">
        <f>E$198</f>
        <v>Value of True up run-off - real</v>
      </c>
      <c r="F214" s="184">
        <f t="shared" ref="F214:R214" si="119">F$198</f>
        <v>0</v>
      </c>
      <c r="G214" s="7" t="str">
        <f t="shared" si="119"/>
        <v>£m</v>
      </c>
      <c r="H214" s="247">
        <f t="shared" si="119"/>
        <v>0.53888036783734661</v>
      </c>
      <c r="I214" s="247">
        <f t="shared" si="119"/>
        <v>0</v>
      </c>
      <c r="J214" s="184">
        <f t="shared" si="119"/>
        <v>0</v>
      </c>
      <c r="K214" s="184">
        <f t="shared" si="119"/>
        <v>0</v>
      </c>
      <c r="L214" s="184">
        <f t="shared" si="119"/>
        <v>0</v>
      </c>
      <c r="M214" s="185">
        <f t="shared" si="119"/>
        <v>-1.4596293724261411E-2</v>
      </c>
      <c r="N214" s="184">
        <f t="shared" si="119"/>
        <v>2.8764143776501605E-2</v>
      </c>
      <c r="O214" s="184">
        <f t="shared" si="119"/>
        <v>0.13847277822585413</v>
      </c>
      <c r="P214" s="184">
        <f t="shared" si="119"/>
        <v>0.19038456875302723</v>
      </c>
      <c r="Q214" s="184">
        <f t="shared" si="119"/>
        <v>0.19585517080622505</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1.1219976826191176</v>
      </c>
      <c r="N215" s="184">
        <f t="shared" si="120"/>
        <v>1.0901693555893588</v>
      </c>
      <c r="O215" s="184">
        <f t="shared" si="120"/>
        <v>1.059243920265355</v>
      </c>
      <c r="P215" s="184">
        <f t="shared" si="120"/>
        <v>1.0291957638201563</v>
      </c>
      <c r="Q215" s="184">
        <f t="shared" si="120"/>
        <v>1</v>
      </c>
      <c r="R215" s="184">
        <f t="shared" si="120"/>
        <v>1</v>
      </c>
    </row>
    <row r="216" spans="1:18" s="34" customFormat="1" x14ac:dyDescent="0.25">
      <c r="A216" s="265"/>
      <c r="B216" s="266"/>
      <c r="C216" s="267"/>
      <c r="D216" s="268"/>
      <c r="E216" s="34" t="s">
        <v>354</v>
      </c>
      <c r="G216" s="34" t="s">
        <v>88</v>
      </c>
      <c r="H216" s="271">
        <f xml:space="preserve"> SUM(J216:R216)</f>
        <v>0.55345539127301591</v>
      </c>
      <c r="J216" s="271">
        <f xml:space="preserve"> J214 * J215</f>
        <v>0</v>
      </c>
      <c r="K216" s="271">
        <f t="shared" ref="K216:R216" si="121" xml:space="preserve"> K214 * K215</f>
        <v>0</v>
      </c>
      <c r="L216" s="271">
        <f t="shared" si="121"/>
        <v>0</v>
      </c>
      <c r="M216" s="277">
        <f t="shared" si="121"/>
        <v>-1.6377007733449273E-2</v>
      </c>
      <c r="N216" s="271">
        <f t="shared" si="121"/>
        <v>3.1357788084908418E-2</v>
      </c>
      <c r="O216" s="271">
        <f t="shared" si="121"/>
        <v>0.14667644845798883</v>
      </c>
      <c r="P216" s="271">
        <f t="shared" si="121"/>
        <v>0.19594299165734291</v>
      </c>
      <c r="Q216" s="271">
        <f t="shared" si="121"/>
        <v>0.19585517080622505</v>
      </c>
      <c r="R216" s="271">
        <f t="shared" si="121"/>
        <v>0</v>
      </c>
    </row>
    <row r="218" spans="1:18" x14ac:dyDescent="0.25">
      <c r="B218" s="61" t="s">
        <v>275</v>
      </c>
    </row>
    <row r="219" spans="1:18" x14ac:dyDescent="0.25">
      <c r="E219" s="7" t="str">
        <f>E202</f>
        <v>Value of True up return - real</v>
      </c>
      <c r="F219" s="184">
        <f t="shared" ref="F219:R219" si="122">F202</f>
        <v>0</v>
      </c>
      <c r="G219" s="7" t="str">
        <f t="shared" si="122"/>
        <v>£m</v>
      </c>
      <c r="H219" s="247">
        <f t="shared" si="122"/>
        <v>0.24921057602346219</v>
      </c>
      <c r="I219" s="247">
        <f t="shared" si="122"/>
        <v>0</v>
      </c>
      <c r="J219" s="184">
        <f t="shared" si="122"/>
        <v>0</v>
      </c>
      <c r="K219" s="184">
        <f t="shared" si="122"/>
        <v>0</v>
      </c>
      <c r="L219" s="184">
        <f t="shared" si="122"/>
        <v>0</v>
      </c>
      <c r="M219" s="185">
        <f t="shared" si="122"/>
        <v>-6.7502009424265097E-3</v>
      </c>
      <c r="N219" s="184">
        <f t="shared" si="122"/>
        <v>1.330226385520783E-2</v>
      </c>
      <c r="O219" s="184">
        <f t="shared" si="122"/>
        <v>6.403811102587853E-2</v>
      </c>
      <c r="P219" s="184">
        <f t="shared" si="122"/>
        <v>8.8045233927024791E-2</v>
      </c>
      <c r="Q219" s="184">
        <f t="shared" si="122"/>
        <v>9.0575168157777552E-2</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1.1219976826191176</v>
      </c>
      <c r="N220" s="184">
        <f t="shared" si="123"/>
        <v>1.0901693555893588</v>
      </c>
      <c r="O220" s="184">
        <f t="shared" si="123"/>
        <v>1.059243920265355</v>
      </c>
      <c r="P220" s="184">
        <f t="shared" si="123"/>
        <v>1.0291957638201563</v>
      </c>
      <c r="Q220" s="184">
        <f t="shared" si="123"/>
        <v>1</v>
      </c>
      <c r="R220" s="184">
        <f t="shared" si="123"/>
        <v>1</v>
      </c>
    </row>
    <row r="221" spans="1:18" s="34" customFormat="1" x14ac:dyDescent="0.25">
      <c r="A221" s="265"/>
      <c r="B221" s="266"/>
      <c r="C221" s="267"/>
      <c r="D221" s="268"/>
      <c r="E221" s="34" t="s">
        <v>355</v>
      </c>
      <c r="G221" s="34" t="s">
        <v>88</v>
      </c>
      <c r="H221" s="271">
        <f xml:space="preserve"> SUM(J221:R221)</f>
        <v>0.2559509403097614</v>
      </c>
      <c r="J221" s="271">
        <f xml:space="preserve"> J219 * J220</f>
        <v>0</v>
      </c>
      <c r="K221" s="271">
        <f t="shared" ref="K221:M221" si="124" xml:space="preserve"> K219 * K220</f>
        <v>0</v>
      </c>
      <c r="L221" s="271">
        <f t="shared" si="124"/>
        <v>0</v>
      </c>
      <c r="M221" s="277">
        <f t="shared" si="124"/>
        <v>-7.5737098146159273E-3</v>
      </c>
      <c r="N221" s="271">
        <f xml:space="preserve"> N219 * N220</f>
        <v>1.450172041491154E-2</v>
      </c>
      <c r="O221" s="271">
        <f t="shared" ref="O221:R221" si="125" xml:space="preserve"> O219 * O220</f>
        <v>6.7831979769439624E-2</v>
      </c>
      <c r="P221" s="271">
        <f t="shared" si="125"/>
        <v>9.0615781782248619E-2</v>
      </c>
      <c r="Q221" s="271">
        <f t="shared" si="125"/>
        <v>9.0575168157777552E-2</v>
      </c>
      <c r="R221" s="271">
        <f t="shared" si="125"/>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58" priority="4" stopIfTrue="1" operator="notEqual">
      <formula>0</formula>
    </cfRule>
    <cfRule type="cellIs" dxfId="57" priority="5" stopIfTrue="1" operator="equal">
      <formula>""</formula>
    </cfRule>
  </conditionalFormatting>
  <conditionalFormatting sqref="F165">
    <cfRule type="cellIs" dxfId="56" priority="2" stopIfTrue="1" operator="notEqual">
      <formula>0</formula>
    </cfRule>
    <cfRule type="cellIs" dxfId="55" priority="3" stopIfTrue="1" operator="equal">
      <formula>""</formula>
    </cfRule>
  </conditionalFormatting>
  <conditionalFormatting sqref="J3:Z3">
    <cfRule type="cellIs" dxfId="54" priority="8" operator="equal">
      <formula>"Post-Fcst"</formula>
    </cfRule>
    <cfRule type="cellIs" dxfId="53" priority="9" operator="equal">
      <formula>"Forecast"</formula>
    </cfRule>
    <cfRule type="cellIs" dxfId="52" priority="10" operator="equal">
      <formula>"Pre Fcst"</formula>
    </cfRule>
  </conditionalFormatting>
  <conditionalFormatting sqref="J165:XFD165">
    <cfRule type="cellIs" dxfId="51" priority="6" stopIfTrue="1" operator="notEqual">
      <formula>0</formula>
    </cfRule>
    <cfRule type="cellIs" dxfId="50"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860.35727519019451</v>
      </c>
      <c r="N22" s="241">
        <f t="shared" si="3"/>
        <v>839.47513344216964</v>
      </c>
      <c r="O22" s="241">
        <f t="shared" si="3"/>
        <v>823.3618822970725</v>
      </c>
      <c r="P22" s="241">
        <f t="shared" si="3"/>
        <v>809.06075920565638</v>
      </c>
      <c r="Q22" s="241">
        <f t="shared" si="3"/>
        <v>795.39055978230817</v>
      </c>
      <c r="R22" s="241">
        <f t="shared" si="3"/>
        <v>781.9513372666238</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20.870625516009273</v>
      </c>
      <c r="N24" s="184">
        <f t="shared" si="5"/>
        <v>24.838095328580124</v>
      </c>
      <c r="O24" s="184">
        <f t="shared" si="5"/>
        <v>25.938931957103772</v>
      </c>
      <c r="P24" s="184">
        <f t="shared" si="5"/>
        <v>25.889944294581568</v>
      </c>
      <c r="Q24" s="184">
        <f t="shared" si="5"/>
        <v>25.452497913033707</v>
      </c>
      <c r="R24" s="184">
        <f t="shared" si="5"/>
        <v>23.45854011799856</v>
      </c>
      <c r="S24" s="92"/>
      <c r="T24" s="92"/>
      <c r="U24" s="92"/>
      <c r="V24" s="92"/>
      <c r="W24" s="92"/>
      <c r="X24" s="92"/>
      <c r="Y24" s="92"/>
      <c r="Z24" s="92"/>
    </row>
    <row r="26" spans="1:16383" s="205" customFormat="1" x14ac:dyDescent="0.25">
      <c r="A26" s="201"/>
      <c r="B26" s="202"/>
      <c r="C26" s="203"/>
      <c r="D26" s="204"/>
      <c r="E26" s="37" t="str">
        <f xml:space="preserve"> InpR!E$95</f>
        <v>Run-off rate - CPI(H) + RPI wedge - active - WN</v>
      </c>
      <c r="F26" s="205">
        <f xml:space="preserve"> InpR!F$95</f>
        <v>0</v>
      </c>
      <c r="G26" s="223" t="str">
        <f xml:space="preserve"> InpR!G$95</f>
        <v>%</v>
      </c>
      <c r="H26" s="205" t="str">
        <f xml:space="preserve"> InpR!I$95</f>
        <v>PR19 Financial model, 'F_OutputsMaster' sheet row 956, PR19FM2093POST</v>
      </c>
      <c r="I26" s="205" t="e">
        <f xml:space="preserve"> InpR!#REF!</f>
        <v>#REF!</v>
      </c>
      <c r="J26" s="205">
        <f xml:space="preserve"> InpR!J$95</f>
        <v>0</v>
      </c>
      <c r="K26" s="205">
        <f xml:space="preserve"> InpR!K$95</f>
        <v>0</v>
      </c>
      <c r="L26" s="205">
        <f xml:space="preserve"> InpR!L$95</f>
        <v>0</v>
      </c>
      <c r="M26" s="205">
        <f xml:space="preserve"> InpR!M$95</f>
        <v>4.7380214846322981E-2</v>
      </c>
      <c r="N26" s="205">
        <f xml:space="preserve"> InpR!N$95</f>
        <v>4.7380214846322981E-2</v>
      </c>
      <c r="O26" s="205">
        <f xml:space="preserve"> InpR!O$95</f>
        <v>4.7380214846322981E-2</v>
      </c>
      <c r="P26" s="205">
        <f xml:space="preserve"> InpR!P$95</f>
        <v>4.7380214846322981E-2</v>
      </c>
      <c r="Q26" s="205">
        <f xml:space="preserve"> InpR!Q$95</f>
        <v>4.7380214846322981E-2</v>
      </c>
      <c r="R26" s="205">
        <f xml:space="preserve"> InpR!R$95</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860.35727519019451</v>
      </c>
      <c r="N27" s="241">
        <f t="shared" si="6"/>
        <v>839.47513344216964</v>
      </c>
      <c r="O27" s="241">
        <f t="shared" si="6"/>
        <v>823.3618822970725</v>
      </c>
      <c r="P27" s="241">
        <f t="shared" si="6"/>
        <v>809.06075920565638</v>
      </c>
      <c r="Q27" s="241">
        <f t="shared" si="6"/>
        <v>795.39055978230817</v>
      </c>
      <c r="R27" s="241">
        <f t="shared" si="6"/>
        <v>781.9513372666238</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20.870625516009273</v>
      </c>
      <c r="N28" s="184">
        <f t="shared" si="7"/>
        <v>24.838095328580124</v>
      </c>
      <c r="O28" s="184">
        <f t="shared" si="7"/>
        <v>25.938931957103772</v>
      </c>
      <c r="P28" s="184">
        <f t="shared" si="7"/>
        <v>25.889944294581568</v>
      </c>
      <c r="Q28" s="184">
        <f t="shared" si="7"/>
        <v>25.452497913033707</v>
      </c>
      <c r="R28" s="184">
        <f t="shared" si="7"/>
        <v>23.45854011799856</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41.752767264034105</v>
      </c>
      <c r="N29" s="184">
        <f t="shared" si="8"/>
        <v>40.951346473677233</v>
      </c>
      <c r="O29" s="184">
        <f t="shared" si="8"/>
        <v>40.24005504851992</v>
      </c>
      <c r="P29" s="184">
        <f t="shared" si="8"/>
        <v>39.56014371792979</v>
      </c>
      <c r="Q29" s="184">
        <f t="shared" si="8"/>
        <v>38.891720428717989</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InpR!$E$88</f>
        <v>RCV - CPI(H) + RPI wedge initial balance - nominal - WN</v>
      </c>
      <c r="F31" s="250">
        <f>InpR!$F$88</f>
        <v>860.35727519019451</v>
      </c>
      <c r="G31" s="250" t="str">
        <f>InpR!$G$88</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860.35727519019451</v>
      </c>
      <c r="N34" s="242">
        <f t="shared" si="9"/>
        <v>839.47513344216964</v>
      </c>
      <c r="O34" s="242">
        <f t="shared" si="9"/>
        <v>823.3618822970725</v>
      </c>
      <c r="P34" s="242">
        <f t="shared" si="9"/>
        <v>809.06075920565638</v>
      </c>
      <c r="Q34" s="242">
        <f t="shared" si="9"/>
        <v>795.39055978230817</v>
      </c>
      <c r="R34" s="242">
        <f t="shared" si="9"/>
        <v>781.9513372666238</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20.870625516009273</v>
      </c>
      <c r="N35" s="242">
        <f t="shared" si="10"/>
        <v>24.838095328580124</v>
      </c>
      <c r="O35" s="242">
        <f t="shared" si="10"/>
        <v>25.938931957103772</v>
      </c>
      <c r="P35" s="242">
        <f t="shared" si="10"/>
        <v>25.889944294581568</v>
      </c>
      <c r="Q35" s="242">
        <f t="shared" si="10"/>
        <v>25.452497913033707</v>
      </c>
      <c r="R35" s="242">
        <f t="shared" si="10"/>
        <v>23.45854011799856</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41.752767264034105</v>
      </c>
      <c r="N36" s="242">
        <f t="shared" si="11"/>
        <v>40.951346473677233</v>
      </c>
      <c r="O36" s="242">
        <f t="shared" si="11"/>
        <v>40.24005504851992</v>
      </c>
      <c r="P36" s="242">
        <f t="shared" si="11"/>
        <v>39.56014371792979</v>
      </c>
      <c r="Q36" s="242">
        <f t="shared" si="11"/>
        <v>38.891720428717989</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860.35727519019451</v>
      </c>
      <c r="M37" s="243">
        <f t="shared" si="12"/>
        <v>839.47513344216964</v>
      </c>
      <c r="N37" s="243">
        <f t="shared" si="12"/>
        <v>823.3618822970725</v>
      </c>
      <c r="O37" s="243">
        <f t="shared" si="12"/>
        <v>809.06075920565638</v>
      </c>
      <c r="P37" s="243">
        <f t="shared" si="12"/>
        <v>795.39055978230817</v>
      </c>
      <c r="Q37" s="243">
        <f t="shared" si="12"/>
        <v>781.9513372666238</v>
      </c>
      <c r="R37" s="243">
        <f t="shared" si="12"/>
        <v>805.4098773846224</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860.35727519019451</v>
      </c>
      <c r="N39" s="185">
        <f t="shared" si="13"/>
        <v>839.47513344216964</v>
      </c>
      <c r="O39" s="185">
        <f t="shared" si="13"/>
        <v>823.3618822970725</v>
      </c>
      <c r="P39" s="185">
        <f t="shared" si="13"/>
        <v>809.06075920565638</v>
      </c>
      <c r="Q39" s="185">
        <f t="shared" si="13"/>
        <v>795.39055978230817</v>
      </c>
      <c r="R39" s="185">
        <f t="shared" si="13"/>
        <v>781.9513372666238</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20.870625516009273</v>
      </c>
      <c r="N40" s="242">
        <f t="shared" si="14"/>
        <v>24.838095328580124</v>
      </c>
      <c r="O40" s="242">
        <f t="shared" si="14"/>
        <v>25.938931957103772</v>
      </c>
      <c r="P40" s="242">
        <f t="shared" si="14"/>
        <v>25.889944294581568</v>
      </c>
      <c r="Q40" s="242">
        <f t="shared" si="14"/>
        <v>25.452497913033707</v>
      </c>
      <c r="R40" s="242">
        <f t="shared" si="14"/>
        <v>23.45854011799856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860.35727519019451</v>
      </c>
      <c r="M41" s="185">
        <f t="shared" si="15"/>
        <v>839.47513344216964</v>
      </c>
      <c r="N41" s="185">
        <f t="shared" si="15"/>
        <v>823.3618822970725</v>
      </c>
      <c r="O41" s="185">
        <f t="shared" si="15"/>
        <v>809.06075920565638</v>
      </c>
      <c r="P41" s="185">
        <f t="shared" si="15"/>
        <v>795.39055978230817</v>
      </c>
      <c r="Q41" s="185">
        <f t="shared" si="15"/>
        <v>781.9513372666238</v>
      </c>
      <c r="R41" s="185">
        <f t="shared" si="15"/>
        <v>805.4098773846224</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430.17863759509726</v>
      </c>
      <c r="M42" s="185">
        <f xml:space="preserve"> ( (M39+M40) + M41) / 2</f>
        <v>860.35151707418663</v>
      </c>
      <c r="N42" s="185">
        <f t="shared" ref="N42:R42" si="17" xml:space="preserve"> ( (N39+N40) + N41) / 2</f>
        <v>843.8375555339112</v>
      </c>
      <c r="O42" s="185">
        <f t="shared" si="17"/>
        <v>829.18078672991635</v>
      </c>
      <c r="P42" s="185">
        <f t="shared" si="17"/>
        <v>815.17063164127308</v>
      </c>
      <c r="Q42" s="185">
        <f t="shared" si="17"/>
        <v>801.39719748098287</v>
      </c>
      <c r="R42" s="185">
        <f t="shared" si="17"/>
        <v>805.4098773846224</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InpR!E$102</f>
        <v>WACC on RCV - CPI(H) + RPI wedge bf and additions - WN</v>
      </c>
      <c r="F45" s="205">
        <f xml:space="preserve"> InpR!F$102</f>
        <v>0</v>
      </c>
      <c r="G45" s="223" t="str">
        <f xml:space="preserve"> InpR!G$102</f>
        <v>%</v>
      </c>
      <c r="H45" s="205" t="str">
        <f xml:space="preserve"> InpR!I$102</f>
        <v>PR19 Financial model, 'Water Network' sheet row 980</v>
      </c>
      <c r="I45" s="205" t="e">
        <f xml:space="preserve"> InpR!#REF!</f>
        <v>#REF!</v>
      </c>
      <c r="J45" s="205">
        <f xml:space="preserve"> InpR!J$102</f>
        <v>0</v>
      </c>
      <c r="K45" s="205">
        <f xml:space="preserve"> InpR!K$102</f>
        <v>0</v>
      </c>
      <c r="L45" s="205">
        <f xml:space="preserve"> InpR!L$102</f>
        <v>0</v>
      </c>
      <c r="M45" s="205">
        <f xml:space="preserve"> InpR!M$102</f>
        <v>1.920357193840716E-2</v>
      </c>
      <c r="N45" s="205">
        <f xml:space="preserve"> InpR!N$102</f>
        <v>1.920357193840716E-2</v>
      </c>
      <c r="O45" s="205">
        <f xml:space="preserve"> InpR!O$102</f>
        <v>1.920357193840716E-2</v>
      </c>
      <c r="P45" s="205">
        <f xml:space="preserve"> InpR!P$102</f>
        <v>1.920357193840716E-2</v>
      </c>
      <c r="Q45" s="205">
        <f xml:space="preserve"> InpR!Q$102</f>
        <v>1.920357193840716E-2</v>
      </c>
      <c r="R45" s="205">
        <f xml:space="preserve"> InpR!R$102</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430.17863759509726</v>
      </c>
      <c r="M47" s="184">
        <f t="shared" si="18"/>
        <v>860.35151707418663</v>
      </c>
      <c r="N47" s="184">
        <f t="shared" si="18"/>
        <v>843.8375555339112</v>
      </c>
      <c r="O47" s="184">
        <f t="shared" si="18"/>
        <v>829.18078672991635</v>
      </c>
      <c r="P47" s="184">
        <f t="shared" si="18"/>
        <v>815.17063164127308</v>
      </c>
      <c r="Q47" s="184">
        <f t="shared" si="18"/>
        <v>801.39719748098287</v>
      </c>
      <c r="R47" s="184">
        <f t="shared" si="18"/>
        <v>805.4098773846224</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16.52182225045188</v>
      </c>
      <c r="N48" s="184">
        <f t="shared" ref="N48:R48" si="20">N45*N47*N46</f>
        <v>16.20469520202511</v>
      </c>
      <c r="O48" s="184">
        <f t="shared" si="20"/>
        <v>15.923232887912993</v>
      </c>
      <c r="P48" s="184">
        <f t="shared" si="20"/>
        <v>15.654187866799992</v>
      </c>
      <c r="Q48" s="184">
        <f t="shared" si="20"/>
        <v>15.389688733063943</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41.752767264034105</v>
      </c>
      <c r="N51" s="184">
        <f t="shared" si="21"/>
        <v>40.951346473677233</v>
      </c>
      <c r="O51" s="184">
        <f t="shared" si="21"/>
        <v>40.24005504851992</v>
      </c>
      <c r="P51" s="184">
        <f t="shared" si="21"/>
        <v>39.56014371792979</v>
      </c>
      <c r="Q51" s="184">
        <f t="shared" si="21"/>
        <v>38.891720428717989</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16.52182225045188</v>
      </c>
      <c r="N52" s="184">
        <f t="shared" si="22"/>
        <v>16.20469520202511</v>
      </c>
      <c r="O52" s="184">
        <f t="shared" si="22"/>
        <v>15.923232887912993</v>
      </c>
      <c r="P52" s="184">
        <f t="shared" si="22"/>
        <v>15.654187866799992</v>
      </c>
      <c r="Q52" s="184">
        <f t="shared" si="22"/>
        <v>15.389688733063943</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281.08965987313297</v>
      </c>
      <c r="I53" s="184"/>
      <c r="J53" s="184">
        <f t="shared" ref="J53:R53" si="23">SUM(J51:J52)</f>
        <v>0</v>
      </c>
      <c r="K53" s="184">
        <f t="shared" si="23"/>
        <v>0</v>
      </c>
      <c r="L53" s="184">
        <f>SUM(L51:L52)</f>
        <v>0</v>
      </c>
      <c r="M53" s="185">
        <f t="shared" si="23"/>
        <v>58.274589514485982</v>
      </c>
      <c r="N53" s="185">
        <f t="shared" si="23"/>
        <v>57.15604167570234</v>
      </c>
      <c r="O53" s="184">
        <f t="shared" si="23"/>
        <v>56.163287936432916</v>
      </c>
      <c r="P53" s="184">
        <f t="shared" si="23"/>
        <v>55.214331584729784</v>
      </c>
      <c r="Q53" s="184">
        <f t="shared" si="23"/>
        <v>54.28140916178193</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58.274589514485982</v>
      </c>
      <c r="N61" s="184">
        <f t="shared" si="24"/>
        <v>57.15604167570234</v>
      </c>
      <c r="O61" s="184">
        <f t="shared" si="24"/>
        <v>56.163287936432916</v>
      </c>
      <c r="P61" s="184">
        <f t="shared" si="24"/>
        <v>55.214331584729784</v>
      </c>
      <c r="Q61" s="184">
        <f t="shared" si="24"/>
        <v>54.28140916178193</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2.6383826896292373E-2</v>
      </c>
      <c r="Q69" s="205">
        <f>Index!Q$135</f>
        <v>1.413341847387195E-2</v>
      </c>
      <c r="R69" s="205">
        <f>Index!R$135</f>
        <v>0</v>
      </c>
    </row>
    <row r="70" spans="1:16383" s="172" customFormat="1" x14ac:dyDescent="0.25">
      <c r="A70" s="173"/>
      <c r="B70" s="174"/>
      <c r="C70" s="175"/>
      <c r="D70" s="176"/>
      <c r="E70" s="172" t="s">
        <v>150</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4.7383826896292947E-2</v>
      </c>
      <c r="Q70" s="172">
        <f t="shared" ref="Q70" si="31">SUM(Q68:Q69)</f>
        <v>3.513341847387319E-2</v>
      </c>
      <c r="R70" s="172">
        <f t="shared" ref="R70" si="32">SUM(R68:R69)</f>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860.35727519019451</v>
      </c>
      <c r="N73" s="241">
        <f t="shared" si="33"/>
        <v>836.40271377656518</v>
      </c>
      <c r="O73" s="241">
        <f t="shared" si="33"/>
        <v>829.49475055489143</v>
      </c>
      <c r="P73" s="241">
        <f t="shared" si="33"/>
        <v>838.98703728650287</v>
      </c>
      <c r="Q73" s="241">
        <f t="shared" si="33"/>
        <v>837.10649495270729</v>
      </c>
      <c r="R73" s="241">
        <f t="shared" si="33"/>
        <v>825.46115049005004</v>
      </c>
    </row>
    <row r="74" spans="1:16383" s="172" customFormat="1" x14ac:dyDescent="0.25">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4.7383826896292947E-2</v>
      </c>
      <c r="Q74" s="172">
        <f t="shared" si="34"/>
        <v>3.513341847387319E-2</v>
      </c>
      <c r="R74" s="172">
        <f t="shared" si="34"/>
        <v>1.999999999999913E-2</v>
      </c>
      <c r="S74" s="177"/>
      <c r="T74" s="177"/>
      <c r="U74" s="177"/>
      <c r="V74" s="177"/>
      <c r="W74" s="177"/>
      <c r="X74" s="177"/>
      <c r="Y74" s="177"/>
      <c r="Z74" s="177"/>
    </row>
    <row r="75" spans="1:16383" x14ac:dyDescent="0.25">
      <c r="E75" s="7" t="s">
        <v>152</v>
      </c>
      <c r="G75" s="162" t="s">
        <v>88</v>
      </c>
      <c r="J75" s="184">
        <f t="shared" ref="J75:L75" si="35">J73*J74</f>
        <v>0</v>
      </c>
      <c r="K75" s="184">
        <f t="shared" si="35"/>
        <v>0</v>
      </c>
      <c r="L75" s="184">
        <f t="shared" si="35"/>
        <v>0</v>
      </c>
      <c r="M75" s="184">
        <f>M73*M74</f>
        <v>17.645393672741513</v>
      </c>
      <c r="N75" s="184">
        <f t="shared" ref="N75:R75" si="36">N73*N74</f>
        <v>34.348412205010959</v>
      </c>
      <c r="O75" s="184">
        <f t="shared" si="36"/>
        <v>51.220777677767614</v>
      </c>
      <c r="P75" s="184">
        <f t="shared" si="36"/>
        <v>39.754416543017328</v>
      </c>
      <c r="Q75" s="184">
        <f t="shared" si="36"/>
        <v>29.410412794370682</v>
      </c>
      <c r="R75" s="184">
        <f t="shared" si="36"/>
        <v>16.509223009800284</v>
      </c>
    </row>
    <row r="77" spans="1:16383" s="205" customFormat="1" x14ac:dyDescent="0.25">
      <c r="A77" s="201"/>
      <c r="B77" s="202"/>
      <c r="C77" s="203"/>
      <c r="D77" s="204"/>
      <c r="E77" s="37" t="str">
        <f xml:space="preserve"> InpR!E$95</f>
        <v>Run-off rate - CPI(H) + RPI wedge - active - WN</v>
      </c>
      <c r="F77" s="205">
        <f xml:space="preserve"> InpR!F$95</f>
        <v>0</v>
      </c>
      <c r="G77" s="223" t="str">
        <f xml:space="preserve"> InpR!G$95</f>
        <v>%</v>
      </c>
      <c r="H77" s="205" t="str">
        <f xml:space="preserve"> InpR!I$95</f>
        <v>PR19 Financial model, 'F_OutputsMaster' sheet row 956, PR19FM2093POST</v>
      </c>
      <c r="I77" s="205" t="e">
        <f xml:space="preserve"> InpR!#REF!</f>
        <v>#REF!</v>
      </c>
      <c r="J77" s="205">
        <f xml:space="preserve"> InpR!J$95</f>
        <v>0</v>
      </c>
      <c r="K77" s="205">
        <f xml:space="preserve"> InpR!K$95</f>
        <v>0</v>
      </c>
      <c r="L77" s="205">
        <f xml:space="preserve"> InpR!L$95</f>
        <v>0</v>
      </c>
      <c r="M77" s="205">
        <f xml:space="preserve"> InpR!M$95</f>
        <v>4.7380214846322981E-2</v>
      </c>
      <c r="N77" s="205">
        <f xml:space="preserve"> InpR!N$95</f>
        <v>4.7380214846322981E-2</v>
      </c>
      <c r="O77" s="205">
        <f xml:space="preserve"> InpR!O$95</f>
        <v>4.7380214846322981E-2</v>
      </c>
      <c r="P77" s="205">
        <f xml:space="preserve"> InpR!P$95</f>
        <v>4.7380214846322981E-2</v>
      </c>
      <c r="Q77" s="205">
        <f xml:space="preserve"> InpR!Q$95</f>
        <v>4.7380214846322981E-2</v>
      </c>
      <c r="R77" s="205">
        <f xml:space="preserve"> InpR!R$95</f>
        <v>0</v>
      </c>
    </row>
    <row r="78" spans="1:16383" s="161" customFormat="1" x14ac:dyDescent="0.25">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860.35727519019451</v>
      </c>
      <c r="N78" s="241">
        <f t="shared" si="37"/>
        <v>836.40271377656518</v>
      </c>
      <c r="O78" s="241">
        <f t="shared" si="37"/>
        <v>829.49475055489143</v>
      </c>
      <c r="P78" s="241">
        <f t="shared" si="37"/>
        <v>838.98703728650287</v>
      </c>
      <c r="Q78" s="241">
        <f t="shared" si="37"/>
        <v>837.10649495270729</v>
      </c>
      <c r="R78" s="241">
        <f t="shared" si="37"/>
        <v>825.46115049005004</v>
      </c>
    </row>
    <row r="79" spans="1:16383" x14ac:dyDescent="0.25">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17.645393672741513</v>
      </c>
      <c r="N79" s="184">
        <f t="shared" si="38"/>
        <v>34.348412205010959</v>
      </c>
      <c r="O79" s="184">
        <f t="shared" si="38"/>
        <v>51.220777677767614</v>
      </c>
      <c r="P79" s="184">
        <f t="shared" si="38"/>
        <v>39.754416543017328</v>
      </c>
      <c r="Q79" s="184">
        <f t="shared" si="38"/>
        <v>29.410412794370682</v>
      </c>
      <c r="R79" s="184">
        <f t="shared" si="38"/>
        <v>16.509223009800284</v>
      </c>
    </row>
    <row r="80" spans="1:16383" x14ac:dyDescent="0.25">
      <c r="E80" s="7" t="s">
        <v>153</v>
      </c>
      <c r="F80" s="244"/>
      <c r="G80" s="244" t="s">
        <v>88</v>
      </c>
      <c r="H80" s="244"/>
      <c r="I80" s="244"/>
      <c r="J80" s="184">
        <f t="shared" ref="J80" si="39" xml:space="preserve"> (J78+J79) * J77</f>
        <v>0</v>
      </c>
      <c r="K80" s="184">
        <f t="shared" ref="K80" si="40" xml:space="preserve"> (K78+K79) * K77</f>
        <v>0</v>
      </c>
      <c r="L80" s="184">
        <f t="shared" ref="L80:R80" si="41" xml:space="preserve"> (L78+L79) * L77</f>
        <v>0</v>
      </c>
      <c r="M80" s="184">
        <f t="shared" si="41"/>
        <v>41.599955086370883</v>
      </c>
      <c r="N80" s="184">
        <f xml:space="preserve"> (N78+N79) * N77</f>
        <v>41.256375426684727</v>
      </c>
      <c r="O80" s="184">
        <f t="shared" si="41"/>
        <v>41.728490946156221</v>
      </c>
      <c r="P80" s="184">
        <f t="shared" si="41"/>
        <v>41.634958876812874</v>
      </c>
      <c r="Q80" s="184">
        <f t="shared" si="41"/>
        <v>41.055757257027985</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InpR!$E$88</f>
        <v>RCV - CPI(H) + RPI wedge initial balance - nominal - WN</v>
      </c>
      <c r="F82" s="250">
        <f>InpR!$F$88</f>
        <v>860.35727519019451</v>
      </c>
      <c r="G82" s="250" t="str">
        <f>InpR!$G$88</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 si="42" xml:space="preserve"> I88</f>
        <v>0</v>
      </c>
      <c r="K85" s="242">
        <f t="shared" ref="K85" si="43" xml:space="preserve"> J88</f>
        <v>0</v>
      </c>
      <c r="L85" s="242">
        <f t="shared" ref="L85" si="44" xml:space="preserve"> K88</f>
        <v>0</v>
      </c>
      <c r="M85" s="242">
        <f t="shared" ref="M85" si="45" xml:space="preserve"> L88</f>
        <v>860.35727519019451</v>
      </c>
      <c r="N85" s="242">
        <f t="shared" ref="N85" si="46" xml:space="preserve"> M88</f>
        <v>836.40271377656518</v>
      </c>
      <c r="O85" s="242">
        <f t="shared" ref="O85" si="47" xml:space="preserve"> N88</f>
        <v>829.49475055489143</v>
      </c>
      <c r="P85" s="242">
        <f t="shared" ref="P85" si="48" xml:space="preserve"> O88</f>
        <v>838.98703728650287</v>
      </c>
      <c r="Q85" s="242">
        <f t="shared" ref="Q85" si="49" xml:space="preserve"> P88</f>
        <v>837.10649495270729</v>
      </c>
      <c r="R85" s="242">
        <f t="shared" ref="R85" si="50" xml:space="preserve"> Q88</f>
        <v>825.46115049005004</v>
      </c>
    </row>
    <row r="86" spans="1:18" x14ac:dyDescent="0.25">
      <c r="A86" s="47"/>
      <c r="B86" s="51"/>
      <c r="C86" s="111"/>
      <c r="D86" s="56" t="s">
        <v>139</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17.645393672741513</v>
      </c>
      <c r="N86" s="242">
        <f t="shared" si="51"/>
        <v>34.348412205010959</v>
      </c>
      <c r="O86" s="242">
        <f t="shared" si="51"/>
        <v>51.220777677767614</v>
      </c>
      <c r="P86" s="242">
        <f t="shared" si="51"/>
        <v>39.754416543017328</v>
      </c>
      <c r="Q86" s="242">
        <f t="shared" si="51"/>
        <v>29.410412794370682</v>
      </c>
      <c r="R86" s="242">
        <f t="shared" si="51"/>
        <v>16.509223009800284</v>
      </c>
    </row>
    <row r="87" spans="1:18" x14ac:dyDescent="0.25">
      <c r="A87" s="47"/>
      <c r="B87" s="51"/>
      <c r="C87" s="111"/>
      <c r="D87" s="56" t="s">
        <v>140</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41.599955086370883</v>
      </c>
      <c r="N87" s="242">
        <f t="shared" si="52"/>
        <v>41.256375426684727</v>
      </c>
      <c r="O87" s="242">
        <f t="shared" si="52"/>
        <v>41.728490946156221</v>
      </c>
      <c r="P87" s="242">
        <f t="shared" si="52"/>
        <v>41.634958876812874</v>
      </c>
      <c r="Q87" s="242">
        <f t="shared" si="52"/>
        <v>41.055757257027985</v>
      </c>
      <c r="R87" s="242">
        <f t="shared" si="52"/>
        <v>0</v>
      </c>
    </row>
    <row r="88" spans="1:18" s="138" customFormat="1" x14ac:dyDescent="0.25">
      <c r="A88" s="134"/>
      <c r="B88" s="135"/>
      <c r="C88" s="136"/>
      <c r="D88" s="137"/>
      <c r="E88" s="138" t="s">
        <v>155</v>
      </c>
      <c r="G88" s="163" t="s">
        <v>88</v>
      </c>
      <c r="J88" s="243">
        <f t="shared" ref="J88:R88" si="53" xml:space="preserve"> IF( J83 = 1, $F82, J85 + J86 - J87)</f>
        <v>0</v>
      </c>
      <c r="K88" s="243">
        <f t="shared" si="53"/>
        <v>0</v>
      </c>
      <c r="L88" s="243">
        <f t="shared" si="53"/>
        <v>860.35727519019451</v>
      </c>
      <c r="M88" s="243">
        <f t="shared" si="53"/>
        <v>836.40271377656518</v>
      </c>
      <c r="N88" s="243">
        <f t="shared" si="53"/>
        <v>829.49475055489143</v>
      </c>
      <c r="O88" s="243">
        <f t="shared" si="53"/>
        <v>838.98703728650287</v>
      </c>
      <c r="P88" s="243">
        <f t="shared" si="53"/>
        <v>837.10649495270729</v>
      </c>
      <c r="Q88" s="243">
        <f t="shared" si="53"/>
        <v>825.46115049005004</v>
      </c>
      <c r="R88" s="243">
        <f t="shared" si="53"/>
        <v>841.97037349985033</v>
      </c>
    </row>
    <row r="90" spans="1:18" s="92" customFormat="1" x14ac:dyDescent="0.25">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860.35727519019451</v>
      </c>
      <c r="N90" s="185">
        <f t="shared" si="54"/>
        <v>836.40271377656518</v>
      </c>
      <c r="O90" s="185">
        <f t="shared" si="54"/>
        <v>829.49475055489143</v>
      </c>
      <c r="P90" s="185">
        <f t="shared" si="54"/>
        <v>838.98703728650287</v>
      </c>
      <c r="Q90" s="185">
        <f t="shared" si="54"/>
        <v>837.10649495270729</v>
      </c>
      <c r="R90" s="185">
        <f t="shared" si="54"/>
        <v>825.46115049005004</v>
      </c>
    </row>
    <row r="91" spans="1:18" s="92" customFormat="1" x14ac:dyDescent="0.25">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17.645393672741513</v>
      </c>
      <c r="N91" s="242">
        <f t="shared" si="55"/>
        <v>34.348412205010959</v>
      </c>
      <c r="O91" s="242">
        <f t="shared" si="55"/>
        <v>51.220777677767614</v>
      </c>
      <c r="P91" s="242">
        <f t="shared" si="55"/>
        <v>39.754416543017328</v>
      </c>
      <c r="Q91" s="242">
        <f t="shared" si="55"/>
        <v>29.410412794370682</v>
      </c>
      <c r="R91" s="242">
        <f t="shared" si="55"/>
        <v>16.509223009800284</v>
      </c>
    </row>
    <row r="92" spans="1:18" s="92" customFormat="1" x14ac:dyDescent="0.25">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860.35727519019451</v>
      </c>
      <c r="M92" s="185">
        <f t="shared" si="56"/>
        <v>836.40271377656518</v>
      </c>
      <c r="N92" s="185">
        <f t="shared" si="56"/>
        <v>829.49475055489143</v>
      </c>
      <c r="O92" s="185">
        <f t="shared" si="56"/>
        <v>838.98703728650287</v>
      </c>
      <c r="P92" s="185">
        <f t="shared" si="56"/>
        <v>837.10649495270729</v>
      </c>
      <c r="Q92" s="185">
        <f t="shared" si="56"/>
        <v>825.46115049005004</v>
      </c>
      <c r="R92" s="185">
        <f t="shared" si="56"/>
        <v>841.97037349985033</v>
      </c>
    </row>
    <row r="93" spans="1:18" x14ac:dyDescent="0.25">
      <c r="A93" s="49"/>
      <c r="D93" s="57"/>
      <c r="E93" s="7" t="s">
        <v>173</v>
      </c>
      <c r="G93" s="92" t="s">
        <v>88</v>
      </c>
      <c r="H93" s="244"/>
      <c r="I93" s="244"/>
      <c r="J93" s="185">
        <f t="shared" ref="J93" si="57" xml:space="preserve"> ( (J90+J91) + J92) / 2</f>
        <v>0</v>
      </c>
      <c r="K93" s="185">
        <f t="shared" ref="K93" si="58" xml:space="preserve"> ( (K90+K91) + K92) / 2</f>
        <v>0</v>
      </c>
      <c r="L93" s="185">
        <f xml:space="preserve"> ( (L90+L91) + L92) / 2</f>
        <v>430.17863759509726</v>
      </c>
      <c r="M93" s="185">
        <f xml:space="preserve"> ( (M90+M91) + M92) / 2</f>
        <v>857.20269131975056</v>
      </c>
      <c r="N93" s="185">
        <f t="shared" ref="N93" si="59" xml:space="preserve"> ( (N90+N91) + N92) / 2</f>
        <v>850.12293826823384</v>
      </c>
      <c r="O93" s="185">
        <f t="shared" ref="O93" si="60" xml:space="preserve"> ( (O90+O91) + O92) / 2</f>
        <v>859.85128275958095</v>
      </c>
      <c r="P93" s="185">
        <f t="shared" ref="P93" si="61" xml:space="preserve"> ( (P90+P91) + P92) / 2</f>
        <v>857.92397439111369</v>
      </c>
      <c r="Q93" s="185">
        <f xml:space="preserve"> ( (Q90+Q91) + Q92) / 2</f>
        <v>845.98902911856408</v>
      </c>
      <c r="R93" s="185">
        <f t="shared" ref="R93" si="62" xml:space="preserve"> ( (R90+R91) + R92) / 2</f>
        <v>841.97037349985033</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InpR!E$102</f>
        <v>WACC on RCV - CPI(H) + RPI wedge bf and additions - WN</v>
      </c>
      <c r="F96" s="205">
        <f xml:space="preserve"> InpR!F$102</f>
        <v>0</v>
      </c>
      <c r="G96" s="223" t="str">
        <f xml:space="preserve"> InpR!G$102</f>
        <v>%</v>
      </c>
      <c r="H96" s="205" t="str">
        <f xml:space="preserve"> InpR!I$102</f>
        <v>PR19 Financial model, 'Water Network' sheet row 980</v>
      </c>
      <c r="I96" s="205" t="e">
        <f xml:space="preserve"> InpR!#REF!</f>
        <v>#REF!</v>
      </c>
      <c r="J96" s="205">
        <f xml:space="preserve"> InpR!J$102</f>
        <v>0</v>
      </c>
      <c r="K96" s="205">
        <f xml:space="preserve"> InpR!K$102</f>
        <v>0</v>
      </c>
      <c r="L96" s="205">
        <f xml:space="preserve"> InpR!L$102</f>
        <v>0</v>
      </c>
      <c r="M96" s="205">
        <f xml:space="preserve"> InpR!M$102</f>
        <v>1.920357193840716E-2</v>
      </c>
      <c r="N96" s="205">
        <f xml:space="preserve"> InpR!N$102</f>
        <v>1.920357193840716E-2</v>
      </c>
      <c r="O96" s="205">
        <f xml:space="preserve"> InpR!O$102</f>
        <v>1.920357193840716E-2</v>
      </c>
      <c r="P96" s="205">
        <f xml:space="preserve"> InpR!P$102</f>
        <v>1.920357193840716E-2</v>
      </c>
      <c r="Q96" s="205">
        <f xml:space="preserve"> InpR!Q$102</f>
        <v>1.920357193840716E-2</v>
      </c>
      <c r="R96" s="205">
        <f xml:space="preserve"> InpR!R$102</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430.17863759509726</v>
      </c>
      <c r="M98" s="184">
        <f t="shared" si="63"/>
        <v>857.20269131975056</v>
      </c>
      <c r="N98" s="184">
        <f t="shared" si="63"/>
        <v>850.12293826823384</v>
      </c>
      <c r="O98" s="184">
        <f t="shared" si="63"/>
        <v>859.85128275958095</v>
      </c>
      <c r="P98" s="184">
        <f t="shared" si="63"/>
        <v>857.92397439111369</v>
      </c>
      <c r="Q98" s="184">
        <f t="shared" si="63"/>
        <v>845.98902911856408</v>
      </c>
      <c r="R98" s="184">
        <f t="shared" si="63"/>
        <v>841.97037349985033</v>
      </c>
    </row>
    <row r="99" spans="1:26" x14ac:dyDescent="0.25">
      <c r="E99" s="7" t="s">
        <v>157</v>
      </c>
      <c r="F99" s="244"/>
      <c r="G99" s="184" t="s">
        <v>88</v>
      </c>
      <c r="H99" s="244"/>
      <c r="I99" s="244"/>
      <c r="J99" s="244">
        <f t="shared" ref="J99:K99" si="64">J96*J97*J98</f>
        <v>0</v>
      </c>
      <c r="K99" s="244">
        <f t="shared" si="64"/>
        <v>0</v>
      </c>
      <c r="L99" s="244">
        <f>L96*L97*L98</f>
        <v>0</v>
      </c>
      <c r="M99" s="244">
        <f>M96*M97*M98</f>
        <v>16.461353548555056</v>
      </c>
      <c r="N99" s="244">
        <f t="shared" ref="N99:R99" si="65">N96*N97*N98</f>
        <v>16.325397001524099</v>
      </c>
      <c r="O99" s="244">
        <f t="shared" si="65"/>
        <v>16.512215964805289</v>
      </c>
      <c r="P99" s="244">
        <f t="shared" si="65"/>
        <v>16.475204759903935</v>
      </c>
      <c r="Q99" s="244">
        <f t="shared" si="65"/>
        <v>16.246011179781576</v>
      </c>
      <c r="R99" s="244">
        <f t="shared" si="65"/>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860.35727519019451</v>
      </c>
      <c r="M102" s="185">
        <f t="shared" si="66"/>
        <v>836.40271377656518</v>
      </c>
      <c r="N102" s="185">
        <f t="shared" si="66"/>
        <v>829.49475055489143</v>
      </c>
      <c r="O102" s="185">
        <f t="shared" si="66"/>
        <v>838.98703728650287</v>
      </c>
      <c r="P102" s="185">
        <f t="shared" si="66"/>
        <v>837.10649495270729</v>
      </c>
      <c r="Q102" s="185">
        <f t="shared" si="66"/>
        <v>825.46115049005004</v>
      </c>
      <c r="R102" s="185">
        <f t="shared" si="66"/>
        <v>841.97037349985033</v>
      </c>
    </row>
    <row r="103" spans="1:26" x14ac:dyDescent="0.25">
      <c r="C103" s="278"/>
      <c r="E103" s="7" t="s">
        <v>318</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825.46115049005004</v>
      </c>
      <c r="R103" s="184">
        <f t="shared" ref="R103" si="74">R102 * R101</f>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41.599955086370883</v>
      </c>
      <c r="N106" s="184">
        <f t="shared" si="75"/>
        <v>41.256375426684727</v>
      </c>
      <c r="O106" s="184">
        <f t="shared" si="75"/>
        <v>41.728490946156221</v>
      </c>
      <c r="P106" s="184">
        <f t="shared" si="75"/>
        <v>41.634958876812874</v>
      </c>
      <c r="Q106" s="184">
        <f t="shared" si="75"/>
        <v>41.055757257027985</v>
      </c>
      <c r="R106" s="184">
        <f t="shared" si="75"/>
        <v>0</v>
      </c>
    </row>
    <row r="107" spans="1:26" s="91" customFormat="1" x14ac:dyDescent="0.25">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16.461353548555056</v>
      </c>
      <c r="N107" s="184">
        <f t="shared" si="76"/>
        <v>16.325397001524099</v>
      </c>
      <c r="O107" s="184">
        <f t="shared" si="76"/>
        <v>16.512215964805289</v>
      </c>
      <c r="P107" s="184">
        <f t="shared" si="76"/>
        <v>16.475204759903935</v>
      </c>
      <c r="Q107" s="184">
        <f t="shared" si="76"/>
        <v>16.246011179781576</v>
      </c>
      <c r="R107" s="184">
        <f t="shared" si="76"/>
        <v>0</v>
      </c>
      <c r="S107" s="92"/>
      <c r="T107" s="92"/>
      <c r="U107" s="92"/>
      <c r="V107" s="92"/>
      <c r="W107" s="92"/>
      <c r="X107" s="92"/>
      <c r="Y107" s="92"/>
      <c r="Z107" s="92"/>
    </row>
    <row r="108" spans="1:26" x14ac:dyDescent="0.25">
      <c r="E108" s="7" t="s">
        <v>266</v>
      </c>
      <c r="F108" s="244"/>
      <c r="G108" s="184" t="str">
        <f t="shared" si="76"/>
        <v>£m</v>
      </c>
      <c r="H108" s="244">
        <f>SUM(J108:R108)</f>
        <v>289.29572004762264</v>
      </c>
      <c r="I108" s="244"/>
      <c r="J108" s="244">
        <f t="shared" ref="J108:R108" si="77">SUM(J106:J107)</f>
        <v>0</v>
      </c>
      <c r="K108" s="244">
        <f t="shared" si="77"/>
        <v>0</v>
      </c>
      <c r="L108" s="244">
        <f t="shared" si="77"/>
        <v>0</v>
      </c>
      <c r="M108" s="244">
        <f t="shared" si="77"/>
        <v>58.061308634925936</v>
      </c>
      <c r="N108" s="244">
        <f t="shared" si="77"/>
        <v>57.581772428208822</v>
      </c>
      <c r="O108" s="244">
        <f t="shared" si="77"/>
        <v>58.240706910961507</v>
      </c>
      <c r="P108" s="244">
        <f t="shared" si="77"/>
        <v>58.110163636716806</v>
      </c>
      <c r="Q108" s="244">
        <f t="shared" si="77"/>
        <v>57.30176843680956</v>
      </c>
      <c r="R108" s="244">
        <f t="shared" si="77"/>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58.274589514485982</v>
      </c>
      <c r="N114" s="184">
        <f t="shared" si="78"/>
        <v>57.15604167570234</v>
      </c>
      <c r="O114" s="184">
        <f t="shared" si="78"/>
        <v>56.163287936432916</v>
      </c>
      <c r="P114" s="184">
        <f t="shared" si="78"/>
        <v>55.214331584729784</v>
      </c>
      <c r="Q114" s="184">
        <f t="shared" si="78"/>
        <v>54.28140916178193</v>
      </c>
      <c r="R114" s="184">
        <f xml:space="preserve"> R$61</f>
        <v>0</v>
      </c>
    </row>
    <row r="115" spans="1:26" x14ac:dyDescent="0.25">
      <c r="E115" s="7" t="str">
        <f t="shared" ref="E115:R115" si="79" xml:space="preserve"> E$108</f>
        <v>Total nominal revenue company should have received</v>
      </c>
      <c r="F115" s="184">
        <f t="shared" si="79"/>
        <v>0</v>
      </c>
      <c r="G115" s="184" t="str">
        <f t="shared" si="79"/>
        <v>£m</v>
      </c>
      <c r="H115" s="184">
        <f t="shared" si="79"/>
        <v>289.29572004762264</v>
      </c>
      <c r="I115" s="184">
        <f t="shared" si="79"/>
        <v>0</v>
      </c>
      <c r="J115" s="184">
        <f t="shared" si="79"/>
        <v>0</v>
      </c>
      <c r="K115" s="184">
        <f t="shared" si="79"/>
        <v>0</v>
      </c>
      <c r="L115" s="184">
        <f t="shared" si="79"/>
        <v>0</v>
      </c>
      <c r="M115" s="184">
        <f t="shared" si="79"/>
        <v>58.061308634925936</v>
      </c>
      <c r="N115" s="184">
        <f t="shared" si="79"/>
        <v>57.581772428208822</v>
      </c>
      <c r="O115" s="184">
        <f t="shared" si="79"/>
        <v>58.240706910961507</v>
      </c>
      <c r="P115" s="184">
        <f t="shared" si="79"/>
        <v>58.110163636716806</v>
      </c>
      <c r="Q115" s="184">
        <f t="shared" si="79"/>
        <v>57.30176843680956</v>
      </c>
      <c r="R115" s="184">
        <f t="shared" si="79"/>
        <v>0</v>
      </c>
    </row>
    <row r="116" spans="1:26" s="184" customFormat="1" x14ac:dyDescent="0.25">
      <c r="A116" s="180"/>
      <c r="B116" s="181"/>
      <c r="C116" s="182"/>
      <c r="D116" s="183"/>
      <c r="E116" s="7" t="s">
        <v>267</v>
      </c>
      <c r="G116" s="184" t="str">
        <f t="shared" ref="G116" si="80" xml:space="preserve"> G$99</f>
        <v>£m</v>
      </c>
      <c r="H116" s="244">
        <f>SUM(J116:R116)</f>
        <v>8.2060601744896786</v>
      </c>
      <c r="M116" s="184">
        <f>M115-M114</f>
        <v>-0.21328087956004538</v>
      </c>
      <c r="N116" s="184">
        <f t="shared" ref="N116:Q116" si="81">N115-N114</f>
        <v>0.42573075250648174</v>
      </c>
      <c r="O116" s="184">
        <f t="shared" si="81"/>
        <v>2.0774189745285909</v>
      </c>
      <c r="P116" s="184">
        <f t="shared" si="81"/>
        <v>2.8958320519870213</v>
      </c>
      <c r="Q116" s="184">
        <f t="shared" si="81"/>
        <v>3.02035927502763</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84" xml:space="preserve"> E$140</f>
        <v>True up Nominal RCV balance BEG</v>
      </c>
      <c r="F128" s="245">
        <f t="shared" si="84"/>
        <v>0</v>
      </c>
      <c r="G128" s="245" t="str">
        <f t="shared" si="84"/>
        <v>£m</v>
      </c>
      <c r="H128" s="245">
        <f t="shared" si="84"/>
        <v>0</v>
      </c>
      <c r="I128" s="245">
        <f t="shared" si="84"/>
        <v>0</v>
      </c>
      <c r="J128" s="245">
        <f t="shared" si="84"/>
        <v>0</v>
      </c>
      <c r="K128" s="245">
        <f t="shared" si="84"/>
        <v>0</v>
      </c>
      <c r="L128" s="245">
        <f t="shared" si="84"/>
        <v>0</v>
      </c>
      <c r="M128" s="245">
        <f t="shared" si="84"/>
        <v>860.35727519019451</v>
      </c>
      <c r="N128" s="245">
        <f t="shared" si="84"/>
        <v>839.47513344216964</v>
      </c>
      <c r="O128" s="245">
        <f t="shared" si="84"/>
        <v>823.3618822970725</v>
      </c>
      <c r="P128" s="245">
        <f t="shared" si="84"/>
        <v>809.06075920565638</v>
      </c>
      <c r="Q128" s="245">
        <f t="shared" si="84"/>
        <v>795.39055978230817</v>
      </c>
      <c r="R128" s="245">
        <f t="shared" si="84"/>
        <v>781.9513372666238</v>
      </c>
    </row>
    <row r="129" spans="1:16383" x14ac:dyDescent="0.25">
      <c r="E129" s="178" t="str">
        <f t="shared" ref="E129:R129" si="85" xml:space="preserve"> E$126</f>
        <v>True up Indexation percentage</v>
      </c>
      <c r="F129" s="178">
        <f t="shared" si="85"/>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x14ac:dyDescent="0.25">
      <c r="C130" s="278"/>
      <c r="E130" s="7" t="s">
        <v>162</v>
      </c>
      <c r="G130" s="91" t="s">
        <v>88</v>
      </c>
      <c r="J130" s="246">
        <f>J128*J129</f>
        <v>0</v>
      </c>
      <c r="K130" s="246">
        <f t="shared" ref="K130" si="86">K128*K129</f>
        <v>0</v>
      </c>
      <c r="L130" s="246">
        <f t="shared" ref="L130" si="87">L128*L129</f>
        <v>0</v>
      </c>
      <c r="M130" s="246">
        <f>M128*M129</f>
        <v>20.870625516009273</v>
      </c>
      <c r="N130" s="246">
        <f t="shared" ref="N130" si="88">N128*N129</f>
        <v>24.838095328580124</v>
      </c>
      <c r="O130" s="246">
        <f t="shared" ref="O130" si="89">O128*O129</f>
        <v>25.938931957103772</v>
      </c>
      <c r="P130" s="246">
        <f t="shared" ref="P130" si="90">P128*P129</f>
        <v>25.889944294581568</v>
      </c>
      <c r="Q130" s="246">
        <f t="shared" ref="Q130" si="91">Q128*Q129</f>
        <v>25.452497913033707</v>
      </c>
      <c r="R130" s="246">
        <f t="shared" ref="R130" si="92">R128*R129</f>
        <v>23.45854011799856</v>
      </c>
    </row>
    <row r="132" spans="1:16383" s="205" customFormat="1" x14ac:dyDescent="0.25">
      <c r="A132" s="201"/>
      <c r="B132" s="202"/>
      <c r="C132" s="203"/>
      <c r="D132" s="204"/>
      <c r="E132" s="37" t="str">
        <f xml:space="preserve"> InpR!E$95</f>
        <v>Run-off rate - CPI(H) + RPI wedge - active - WN</v>
      </c>
      <c r="F132" s="205">
        <f xml:space="preserve"> InpR!F$95</f>
        <v>0</v>
      </c>
      <c r="G132" s="223" t="str">
        <f xml:space="preserve"> InpR!G$95</f>
        <v>%</v>
      </c>
      <c r="H132" s="205" t="str">
        <f xml:space="preserve"> InpR!I$95</f>
        <v>PR19 Financial model, 'F_OutputsMaster' sheet row 956, PR19FM2093POST</v>
      </c>
      <c r="I132" s="205" t="e">
        <f xml:space="preserve"> InpR!#REF!</f>
        <v>#REF!</v>
      </c>
      <c r="J132" s="205">
        <f xml:space="preserve"> InpR!J$95</f>
        <v>0</v>
      </c>
      <c r="K132" s="205">
        <f xml:space="preserve"> InpR!K$95</f>
        <v>0</v>
      </c>
      <c r="L132" s="205">
        <f xml:space="preserve"> InpR!L$95</f>
        <v>0</v>
      </c>
      <c r="M132" s="205">
        <f xml:space="preserve"> InpR!M$95</f>
        <v>4.7380214846322981E-2</v>
      </c>
      <c r="N132" s="205">
        <f xml:space="preserve"> InpR!N$95</f>
        <v>4.7380214846322981E-2</v>
      </c>
      <c r="O132" s="205">
        <f xml:space="preserve"> InpR!O$95</f>
        <v>4.7380214846322981E-2</v>
      </c>
      <c r="P132" s="205">
        <f xml:space="preserve"> InpR!P$95</f>
        <v>4.7380214846322981E-2</v>
      </c>
      <c r="Q132" s="205">
        <f xml:space="preserve"> InpR!Q$95</f>
        <v>4.7380214846322981E-2</v>
      </c>
      <c r="R132" s="205">
        <f xml:space="preserve"> InpR!R$95</f>
        <v>0</v>
      </c>
    </row>
    <row r="133" spans="1:16383" s="161" customFormat="1" x14ac:dyDescent="0.25">
      <c r="A133" s="157"/>
      <c r="B133" s="158"/>
      <c r="C133" s="159"/>
      <c r="D133" s="160"/>
      <c r="E133" s="161" t="str">
        <f t="shared" ref="E133:R133" si="93" xml:space="preserve"> E$140</f>
        <v>True up Nominal RCV balance BEG</v>
      </c>
      <c r="F133" s="245">
        <f t="shared" si="93"/>
        <v>0</v>
      </c>
      <c r="G133" s="245" t="str">
        <f t="shared" si="93"/>
        <v>£m</v>
      </c>
      <c r="H133" s="245">
        <f t="shared" si="93"/>
        <v>0</v>
      </c>
      <c r="I133" s="245">
        <f t="shared" si="93"/>
        <v>0</v>
      </c>
      <c r="J133" s="245">
        <f t="shared" si="93"/>
        <v>0</v>
      </c>
      <c r="K133" s="245">
        <f t="shared" si="93"/>
        <v>0</v>
      </c>
      <c r="L133" s="245">
        <f t="shared" si="93"/>
        <v>0</v>
      </c>
      <c r="M133" s="245">
        <f t="shared" si="93"/>
        <v>860.35727519019451</v>
      </c>
      <c r="N133" s="245">
        <f t="shared" si="93"/>
        <v>839.47513344216964</v>
      </c>
      <c r="O133" s="245">
        <f t="shared" si="93"/>
        <v>823.3618822970725</v>
      </c>
      <c r="P133" s="245">
        <f t="shared" si="93"/>
        <v>809.06075920565638</v>
      </c>
      <c r="Q133" s="245">
        <f t="shared" si="93"/>
        <v>795.39055978230817</v>
      </c>
      <c r="R133" s="245">
        <f t="shared" si="93"/>
        <v>781.9513372666238</v>
      </c>
    </row>
    <row r="134" spans="1:16383" s="91" customFormat="1" x14ac:dyDescent="0.25">
      <c r="A134" s="170"/>
      <c r="B134" s="165"/>
      <c r="C134" s="276"/>
      <c r="D134" s="171"/>
      <c r="E134" s="7" t="str">
        <f t="shared" ref="E134:R134" si="94" xml:space="preserve"> E$130</f>
        <v>True up RCV indexation</v>
      </c>
      <c r="F134" s="246">
        <f t="shared" si="94"/>
        <v>0</v>
      </c>
      <c r="G134" s="162" t="str">
        <f t="shared" si="94"/>
        <v>£m</v>
      </c>
      <c r="H134" s="246">
        <f t="shared" si="94"/>
        <v>0</v>
      </c>
      <c r="I134" s="246">
        <f t="shared" si="94"/>
        <v>0</v>
      </c>
      <c r="J134" s="246">
        <f t="shared" si="94"/>
        <v>0</v>
      </c>
      <c r="K134" s="246">
        <f t="shared" si="94"/>
        <v>0</v>
      </c>
      <c r="L134" s="246">
        <f t="shared" si="94"/>
        <v>0</v>
      </c>
      <c r="M134" s="246">
        <f t="shared" si="94"/>
        <v>20.870625516009273</v>
      </c>
      <c r="N134" s="246">
        <f t="shared" si="94"/>
        <v>24.838095328580124</v>
      </c>
      <c r="O134" s="246">
        <f t="shared" si="94"/>
        <v>25.938931957103772</v>
      </c>
      <c r="P134" s="246">
        <f t="shared" si="94"/>
        <v>25.889944294581568</v>
      </c>
      <c r="Q134" s="246">
        <f t="shared" si="94"/>
        <v>25.452497913033707</v>
      </c>
      <c r="R134" s="246">
        <f t="shared" si="94"/>
        <v>23.45854011799856</v>
      </c>
      <c r="S134" s="92"/>
      <c r="T134" s="92"/>
      <c r="U134" s="92"/>
      <c r="V134" s="92"/>
      <c r="W134" s="92"/>
      <c r="X134" s="92"/>
      <c r="Y134" s="92"/>
      <c r="Z134" s="92"/>
    </row>
    <row r="135" spans="1:16383" x14ac:dyDescent="0.25">
      <c r="C135" s="278"/>
      <c r="E135" s="7" t="s">
        <v>319</v>
      </c>
      <c r="F135" s="247"/>
      <c r="G135" s="162" t="s">
        <v>88</v>
      </c>
      <c r="H135" s="247"/>
      <c r="I135" s="247"/>
      <c r="J135" s="246">
        <f t="shared" ref="J135:R135" si="95" xml:space="preserve"> (J133+J134) * J132</f>
        <v>0</v>
      </c>
      <c r="K135" s="246">
        <f t="shared" si="95"/>
        <v>0</v>
      </c>
      <c r="L135" s="246">
        <f t="shared" si="95"/>
        <v>0</v>
      </c>
      <c r="M135" s="246">
        <f xml:space="preserve"> (M133+M134) * M132</f>
        <v>41.752767264034105</v>
      </c>
      <c r="N135" s="246">
        <f t="shared" si="95"/>
        <v>40.951346473677233</v>
      </c>
      <c r="O135" s="246">
        <f t="shared" si="95"/>
        <v>40.24005504851992</v>
      </c>
      <c r="P135" s="246">
        <f t="shared" si="95"/>
        <v>39.56014371792979</v>
      </c>
      <c r="Q135" s="246">
        <f t="shared" si="95"/>
        <v>38.891720428717989</v>
      </c>
      <c r="R135" s="246">
        <f t="shared" si="9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InpR!$E$88</f>
        <v>RCV - CPI(H) + RPI wedge initial balance - nominal - WN</v>
      </c>
      <c r="F137" s="250">
        <f>InpR!$F$88</f>
        <v>860.35727519019451</v>
      </c>
      <c r="G137" s="250" t="str">
        <f>InpR!$G$88</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 si="96" xml:space="preserve"> I143</f>
        <v>0</v>
      </c>
      <c r="K140" s="242">
        <f t="shared" ref="K140" si="97" xml:space="preserve"> J143</f>
        <v>0</v>
      </c>
      <c r="L140" s="242">
        <f t="shared" ref="L140" si="98" xml:space="preserve"> K143</f>
        <v>0</v>
      </c>
      <c r="M140" s="242">
        <f t="shared" ref="M140" si="99" xml:space="preserve"> L143</f>
        <v>860.35727519019451</v>
      </c>
      <c r="N140" s="242">
        <f t="shared" ref="N140" si="100" xml:space="preserve"> M143</f>
        <v>839.47513344216964</v>
      </c>
      <c r="O140" s="242">
        <f t="shared" ref="O140" si="101" xml:space="preserve"> N143</f>
        <v>823.3618822970725</v>
      </c>
      <c r="P140" s="242">
        <f t="shared" ref="P140" si="102" xml:space="preserve"> O143</f>
        <v>809.06075920565638</v>
      </c>
      <c r="Q140" s="242">
        <f t="shared" ref="Q140" si="103" xml:space="preserve"> P143</f>
        <v>795.39055978230817</v>
      </c>
      <c r="R140" s="242">
        <f t="shared" ref="R140" si="104" xml:space="preserve"> Q143</f>
        <v>781.9513372666238</v>
      </c>
    </row>
    <row r="141" spans="1:16383" x14ac:dyDescent="0.25">
      <c r="A141" s="47"/>
      <c r="B141" s="51"/>
      <c r="C141" s="111"/>
      <c r="D141" s="56" t="s">
        <v>139</v>
      </c>
      <c r="E141" s="7" t="str">
        <f t="shared" ref="E141:R141" si="105" xml:space="preserve"> E$130</f>
        <v>True up RCV indexation</v>
      </c>
      <c r="F141" s="242">
        <f t="shared" si="105"/>
        <v>0</v>
      </c>
      <c r="G141" s="242" t="str">
        <f t="shared" si="105"/>
        <v>£m</v>
      </c>
      <c r="H141" s="242">
        <f t="shared" si="105"/>
        <v>0</v>
      </c>
      <c r="I141" s="242">
        <f t="shared" si="105"/>
        <v>0</v>
      </c>
      <c r="J141" s="242">
        <f t="shared" si="105"/>
        <v>0</v>
      </c>
      <c r="K141" s="242">
        <f t="shared" si="105"/>
        <v>0</v>
      </c>
      <c r="L141" s="242">
        <f t="shared" si="105"/>
        <v>0</v>
      </c>
      <c r="M141" s="242">
        <f t="shared" si="105"/>
        <v>20.870625516009273</v>
      </c>
      <c r="N141" s="242">
        <f t="shared" si="105"/>
        <v>24.838095328580124</v>
      </c>
      <c r="O141" s="242">
        <f t="shared" si="105"/>
        <v>25.938931957103772</v>
      </c>
      <c r="P141" s="242">
        <f t="shared" si="105"/>
        <v>25.889944294581568</v>
      </c>
      <c r="Q141" s="242">
        <f t="shared" si="105"/>
        <v>25.452497913033707</v>
      </c>
      <c r="R141" s="242">
        <f t="shared" si="105"/>
        <v>23.45854011799856</v>
      </c>
    </row>
    <row r="142" spans="1:16383" x14ac:dyDescent="0.25">
      <c r="A142" s="47"/>
      <c r="B142" s="51"/>
      <c r="C142" s="111"/>
      <c r="D142" s="56" t="s">
        <v>140</v>
      </c>
      <c r="E142" s="7" t="str">
        <f t="shared" ref="E142:R142" si="106" xml:space="preserve"> E$135</f>
        <v>True up Nominal RCV run-off</v>
      </c>
      <c r="F142" s="242">
        <f t="shared" si="106"/>
        <v>0</v>
      </c>
      <c r="G142" s="242" t="str">
        <f t="shared" si="106"/>
        <v>£m</v>
      </c>
      <c r="H142" s="242">
        <f t="shared" si="106"/>
        <v>0</v>
      </c>
      <c r="I142" s="242">
        <f t="shared" si="106"/>
        <v>0</v>
      </c>
      <c r="J142" s="242">
        <f t="shared" si="106"/>
        <v>0</v>
      </c>
      <c r="K142" s="242">
        <f t="shared" si="106"/>
        <v>0</v>
      </c>
      <c r="L142" s="242">
        <f t="shared" si="106"/>
        <v>0</v>
      </c>
      <c r="M142" s="242">
        <f t="shared" si="106"/>
        <v>41.752767264034105</v>
      </c>
      <c r="N142" s="242">
        <f t="shared" si="106"/>
        <v>40.951346473677233</v>
      </c>
      <c r="O142" s="242">
        <f t="shared" si="106"/>
        <v>40.24005504851992</v>
      </c>
      <c r="P142" s="242">
        <f t="shared" si="106"/>
        <v>39.56014371792979</v>
      </c>
      <c r="Q142" s="242">
        <f t="shared" si="106"/>
        <v>38.891720428717989</v>
      </c>
      <c r="R142" s="242">
        <f t="shared" si="106"/>
        <v>0</v>
      </c>
    </row>
    <row r="143" spans="1:16383" s="138" customFormat="1" x14ac:dyDescent="0.25">
      <c r="A143" s="134"/>
      <c r="B143" s="135"/>
      <c r="C143" s="279"/>
      <c r="D143" s="137"/>
      <c r="E143" s="138" t="s">
        <v>164</v>
      </c>
      <c r="G143" s="163" t="s">
        <v>88</v>
      </c>
      <c r="J143" s="243">
        <f t="shared" ref="J143:R143" si="107" xml:space="preserve"> IF( J138 = 1, $F137, J140 + J141 - J142)</f>
        <v>0</v>
      </c>
      <c r="K143" s="243">
        <f t="shared" si="107"/>
        <v>0</v>
      </c>
      <c r="L143" s="243">
        <f t="shared" si="107"/>
        <v>860.35727519019451</v>
      </c>
      <c r="M143" s="243">
        <f t="shared" si="107"/>
        <v>839.47513344216964</v>
      </c>
      <c r="N143" s="243">
        <f t="shared" si="107"/>
        <v>823.3618822970725</v>
      </c>
      <c r="O143" s="243">
        <f t="shared" si="107"/>
        <v>809.06075920565638</v>
      </c>
      <c r="P143" s="243">
        <f t="shared" si="107"/>
        <v>795.39055978230817</v>
      </c>
      <c r="Q143" s="243">
        <f t="shared" si="107"/>
        <v>781.9513372666238</v>
      </c>
      <c r="R143" s="243">
        <f t="shared" si="107"/>
        <v>805.4098773846224</v>
      </c>
    </row>
    <row r="145" spans="1:26" s="92" customFormat="1" x14ac:dyDescent="0.25">
      <c r="A145" s="164"/>
      <c r="B145" s="165"/>
      <c r="C145" s="166"/>
      <c r="D145" s="167"/>
      <c r="E145" s="179" t="str">
        <f t="shared" ref="E145:R145" si="108" xml:space="preserve"> E$140</f>
        <v>True up Nominal RCV balance BEG</v>
      </c>
      <c r="F145" s="185">
        <f t="shared" si="108"/>
        <v>0</v>
      </c>
      <c r="G145" s="185" t="str">
        <f t="shared" si="108"/>
        <v>£m</v>
      </c>
      <c r="H145" s="185">
        <f t="shared" si="108"/>
        <v>0</v>
      </c>
      <c r="I145" s="185">
        <f t="shared" si="108"/>
        <v>0</v>
      </c>
      <c r="J145" s="185">
        <f t="shared" si="108"/>
        <v>0</v>
      </c>
      <c r="K145" s="185">
        <f t="shared" si="108"/>
        <v>0</v>
      </c>
      <c r="L145" s="185">
        <f t="shared" si="108"/>
        <v>0</v>
      </c>
      <c r="M145" s="185">
        <f t="shared" si="108"/>
        <v>860.35727519019451</v>
      </c>
      <c r="N145" s="185">
        <f t="shared" si="108"/>
        <v>839.47513344216964</v>
      </c>
      <c r="O145" s="185">
        <f t="shared" si="108"/>
        <v>823.3618822970725</v>
      </c>
      <c r="P145" s="185">
        <f t="shared" si="108"/>
        <v>809.06075920565638</v>
      </c>
      <c r="Q145" s="185">
        <f t="shared" si="108"/>
        <v>795.39055978230817</v>
      </c>
      <c r="R145" s="185">
        <f t="shared" si="108"/>
        <v>781.9513372666238</v>
      </c>
    </row>
    <row r="146" spans="1:26" s="91" customFormat="1" x14ac:dyDescent="0.25">
      <c r="A146" s="170"/>
      <c r="B146" s="165"/>
      <c r="C146" s="166"/>
      <c r="D146" s="171"/>
      <c r="E146" s="179" t="str">
        <f t="shared" ref="E146:R146" si="109" xml:space="preserve"> E$130</f>
        <v>True up RCV indexation</v>
      </c>
      <c r="F146" s="184">
        <f t="shared" si="109"/>
        <v>0</v>
      </c>
      <c r="G146" s="185" t="str">
        <f t="shared" si="109"/>
        <v>£m</v>
      </c>
      <c r="H146" s="184">
        <f t="shared" si="109"/>
        <v>0</v>
      </c>
      <c r="I146" s="184">
        <f t="shared" si="109"/>
        <v>0</v>
      </c>
      <c r="J146" s="184">
        <f t="shared" si="109"/>
        <v>0</v>
      </c>
      <c r="K146" s="184">
        <f t="shared" si="109"/>
        <v>0</v>
      </c>
      <c r="L146" s="184">
        <f t="shared" si="109"/>
        <v>0</v>
      </c>
      <c r="M146" s="184">
        <f t="shared" si="109"/>
        <v>20.870625516009273</v>
      </c>
      <c r="N146" s="184">
        <f t="shared" si="109"/>
        <v>24.838095328580124</v>
      </c>
      <c r="O146" s="184">
        <f t="shared" si="109"/>
        <v>25.938931957103772</v>
      </c>
      <c r="P146" s="184">
        <f t="shared" si="109"/>
        <v>25.889944294581568</v>
      </c>
      <c r="Q146" s="184">
        <f t="shared" si="109"/>
        <v>25.452497913033707</v>
      </c>
      <c r="R146" s="184">
        <f t="shared" si="109"/>
        <v>23.45854011799856</v>
      </c>
      <c r="S146" s="92"/>
      <c r="T146" s="92"/>
      <c r="U146" s="92"/>
      <c r="V146" s="92"/>
      <c r="W146" s="92"/>
      <c r="X146" s="92"/>
      <c r="Y146" s="92"/>
      <c r="Z146" s="92"/>
    </row>
    <row r="147" spans="1:26" s="92" customFormat="1" x14ac:dyDescent="0.25">
      <c r="A147" s="164"/>
      <c r="B147" s="165"/>
      <c r="C147" s="166"/>
      <c r="D147" s="167"/>
      <c r="E147" s="179" t="str">
        <f t="shared" ref="E147:R147" si="110" xml:space="preserve"> E$143</f>
        <v>True up Nominal RCV balance END</v>
      </c>
      <c r="F147" s="185">
        <f t="shared" si="110"/>
        <v>0</v>
      </c>
      <c r="G147" s="185" t="str">
        <f t="shared" si="110"/>
        <v>£m</v>
      </c>
      <c r="H147" s="185">
        <f t="shared" si="110"/>
        <v>0</v>
      </c>
      <c r="I147" s="185">
        <f t="shared" si="110"/>
        <v>0</v>
      </c>
      <c r="J147" s="185">
        <f t="shared" si="110"/>
        <v>0</v>
      </c>
      <c r="K147" s="185">
        <f t="shared" si="110"/>
        <v>0</v>
      </c>
      <c r="L147" s="185">
        <f t="shared" si="110"/>
        <v>860.35727519019451</v>
      </c>
      <c r="M147" s="185">
        <f t="shared" si="110"/>
        <v>839.47513344216964</v>
      </c>
      <c r="N147" s="185">
        <f t="shared" si="110"/>
        <v>823.3618822970725</v>
      </c>
      <c r="O147" s="185">
        <f t="shared" si="110"/>
        <v>809.06075920565638</v>
      </c>
      <c r="P147" s="185">
        <f t="shared" si="110"/>
        <v>795.39055978230817</v>
      </c>
      <c r="Q147" s="185">
        <f t="shared" si="110"/>
        <v>781.9513372666238</v>
      </c>
      <c r="R147" s="185">
        <f t="shared" si="110"/>
        <v>805.4098773846224</v>
      </c>
    </row>
    <row r="148" spans="1:26" x14ac:dyDescent="0.25">
      <c r="A148" s="49"/>
      <c r="C148" s="278"/>
      <c r="D148" s="57"/>
      <c r="E148" s="7" t="s">
        <v>317</v>
      </c>
      <c r="F148" s="244"/>
      <c r="G148" s="185" t="s">
        <v>88</v>
      </c>
      <c r="H148" s="244"/>
      <c r="I148" s="244"/>
      <c r="J148" s="185">
        <f t="shared" ref="J148:L148" si="111" xml:space="preserve"> ( (J145+J146) + J147) / 2</f>
        <v>0</v>
      </c>
      <c r="K148" s="185">
        <f t="shared" si="111"/>
        <v>0</v>
      </c>
      <c r="L148" s="185">
        <f t="shared" si="111"/>
        <v>430.17863759509726</v>
      </c>
      <c r="M148" s="185">
        <f xml:space="preserve"> ( (M145+M146) + M147) / 2</f>
        <v>860.35151707418663</v>
      </c>
      <c r="N148" s="185">
        <f t="shared" ref="N148:R148" si="112" xml:space="preserve"> ( (N145+N146) + N147) / 2</f>
        <v>843.8375555339112</v>
      </c>
      <c r="O148" s="185">
        <f t="shared" si="112"/>
        <v>829.18078672991635</v>
      </c>
      <c r="P148" s="185">
        <f t="shared" si="112"/>
        <v>815.17063164127308</v>
      </c>
      <c r="Q148" s="185">
        <f t="shared" si="112"/>
        <v>801.39719748098287</v>
      </c>
      <c r="R148" s="185">
        <f t="shared" si="112"/>
        <v>805.4098773846224</v>
      </c>
    </row>
    <row r="150" spans="1:26" s="205" customFormat="1" x14ac:dyDescent="0.25">
      <c r="A150" s="201"/>
      <c r="B150" s="202"/>
      <c r="C150" s="203"/>
      <c r="D150" s="204"/>
      <c r="E150" s="205" t="str">
        <f xml:space="preserve"> InpR!E$102</f>
        <v>WACC on RCV - CPI(H) + RPI wedge bf and additions - WN</v>
      </c>
      <c r="F150" s="205">
        <f xml:space="preserve"> InpR!F$102</f>
        <v>0</v>
      </c>
      <c r="G150" s="223" t="str">
        <f xml:space="preserve"> InpR!G$102</f>
        <v>%</v>
      </c>
      <c r="H150" s="205" t="str">
        <f xml:space="preserve"> InpR!I$102</f>
        <v>PR19 Financial model, 'Water Network' sheet row 980</v>
      </c>
      <c r="I150" s="205" t="e">
        <f xml:space="preserve"> InpR!#REF!</f>
        <v>#REF!</v>
      </c>
      <c r="J150" s="205">
        <f xml:space="preserve"> InpR!J$102</f>
        <v>0</v>
      </c>
      <c r="K150" s="205">
        <f xml:space="preserve"> InpR!K$102</f>
        <v>0</v>
      </c>
      <c r="L150" s="205">
        <f xml:space="preserve"> InpR!L$102</f>
        <v>0</v>
      </c>
      <c r="M150" s="205">
        <f xml:space="preserve"> InpR!M$102</f>
        <v>1.920357193840716E-2</v>
      </c>
      <c r="N150" s="205">
        <f xml:space="preserve"> InpR!N$102</f>
        <v>1.920357193840716E-2</v>
      </c>
      <c r="O150" s="205">
        <f xml:space="preserve"> InpR!O$102</f>
        <v>1.920357193840716E-2</v>
      </c>
      <c r="P150" s="205">
        <f xml:space="preserve"> InpR!P$102</f>
        <v>1.920357193840716E-2</v>
      </c>
      <c r="Q150" s="205">
        <f xml:space="preserve"> InpR!Q$102</f>
        <v>1.920357193840716E-2</v>
      </c>
      <c r="R150" s="205">
        <f xml:space="preserve"> InpR!R$102</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113" xml:space="preserve"> E$148</f>
        <v>True up Nominal RCV average balance</v>
      </c>
      <c r="F152" s="184">
        <f t="shared" si="113"/>
        <v>0</v>
      </c>
      <c r="G152" s="184" t="str">
        <f t="shared" si="113"/>
        <v>£m</v>
      </c>
      <c r="H152" s="246">
        <f t="shared" si="113"/>
        <v>0</v>
      </c>
      <c r="I152" s="184">
        <f t="shared" si="113"/>
        <v>0</v>
      </c>
      <c r="J152" s="246">
        <f t="shared" si="113"/>
        <v>0</v>
      </c>
      <c r="K152" s="246">
        <f t="shared" si="113"/>
        <v>0</v>
      </c>
      <c r="L152" s="246">
        <f t="shared" si="113"/>
        <v>430.17863759509726</v>
      </c>
      <c r="M152" s="246">
        <f t="shared" si="113"/>
        <v>860.35151707418663</v>
      </c>
      <c r="N152" s="246">
        <f t="shared" si="113"/>
        <v>843.8375555339112</v>
      </c>
      <c r="O152" s="246">
        <f t="shared" si="113"/>
        <v>829.18078672991635</v>
      </c>
      <c r="P152" s="246">
        <f t="shared" si="113"/>
        <v>815.17063164127308</v>
      </c>
      <c r="Q152" s="246">
        <f t="shared" si="113"/>
        <v>801.39719748098287</v>
      </c>
      <c r="R152" s="246">
        <f t="shared" si="113"/>
        <v>805.4098773846224</v>
      </c>
    </row>
    <row r="153" spans="1:26" x14ac:dyDescent="0.25">
      <c r="C153" s="278"/>
      <c r="E153" s="7" t="s">
        <v>320</v>
      </c>
      <c r="F153" s="244"/>
      <c r="G153" s="184" t="s">
        <v>88</v>
      </c>
      <c r="H153" s="244"/>
      <c r="I153" s="244"/>
      <c r="J153" s="246">
        <f t="shared" ref="J153:K153" si="114">J150*J151*J152</f>
        <v>0</v>
      </c>
      <c r="K153" s="246">
        <f t="shared" si="114"/>
        <v>0</v>
      </c>
      <c r="L153" s="246">
        <f>L150*L151*L152</f>
        <v>0</v>
      </c>
      <c r="M153" s="246">
        <f t="shared" ref="M153:R153" si="115">M150*M151*M152</f>
        <v>16.52182225045188</v>
      </c>
      <c r="N153" s="246">
        <f t="shared" si="115"/>
        <v>16.20469520202511</v>
      </c>
      <c r="O153" s="246">
        <f t="shared" si="115"/>
        <v>15.923232887912993</v>
      </c>
      <c r="P153" s="246">
        <f t="shared" si="115"/>
        <v>15.654187866799992</v>
      </c>
      <c r="Q153" s="246">
        <f t="shared" si="115"/>
        <v>15.389688733063943</v>
      </c>
      <c r="R153" s="246">
        <f t="shared" si="115"/>
        <v>0</v>
      </c>
    </row>
    <row r="154" spans="1:26" x14ac:dyDescent="0.25">
      <c r="M154" s="187"/>
      <c r="N154" s="187"/>
      <c r="O154" s="187"/>
      <c r="P154" s="187"/>
      <c r="Q154" s="187"/>
    </row>
    <row r="155" spans="1:26" s="91" customFormat="1" x14ac:dyDescent="0.25">
      <c r="A155" s="170"/>
      <c r="B155" s="165"/>
      <c r="C155" s="166"/>
      <c r="D155" s="171"/>
      <c r="E155" s="7" t="str">
        <f t="shared" ref="E155:R155" si="116" xml:space="preserve"> E$135</f>
        <v>True up Nominal RCV run-off</v>
      </c>
      <c r="F155" s="184">
        <f t="shared" si="116"/>
        <v>0</v>
      </c>
      <c r="G155" s="184" t="str">
        <f t="shared" si="116"/>
        <v>£m</v>
      </c>
      <c r="H155" s="184">
        <f t="shared" si="116"/>
        <v>0</v>
      </c>
      <c r="I155" s="184">
        <f t="shared" si="116"/>
        <v>0</v>
      </c>
      <c r="J155" s="184">
        <f t="shared" si="116"/>
        <v>0</v>
      </c>
      <c r="K155" s="184">
        <f t="shared" si="116"/>
        <v>0</v>
      </c>
      <c r="L155" s="184">
        <f t="shared" si="116"/>
        <v>0</v>
      </c>
      <c r="M155" s="184">
        <f t="shared" si="116"/>
        <v>41.752767264034105</v>
      </c>
      <c r="N155" s="184">
        <f t="shared" si="116"/>
        <v>40.951346473677233</v>
      </c>
      <c r="O155" s="184">
        <f t="shared" si="116"/>
        <v>40.24005504851992</v>
      </c>
      <c r="P155" s="184">
        <f t="shared" si="116"/>
        <v>39.56014371792979</v>
      </c>
      <c r="Q155" s="184">
        <f t="shared" si="116"/>
        <v>38.891720428717989</v>
      </c>
      <c r="R155" s="184">
        <f t="shared" si="116"/>
        <v>0</v>
      </c>
      <c r="S155" s="92"/>
      <c r="T155" s="92"/>
      <c r="U155" s="92"/>
      <c r="V155" s="92"/>
      <c r="W155" s="92"/>
      <c r="X155" s="92"/>
      <c r="Y155" s="92"/>
      <c r="Z155" s="92"/>
    </row>
    <row r="156" spans="1:26" x14ac:dyDescent="0.25">
      <c r="E156" s="7" t="str">
        <f t="shared" ref="E156:R156" si="117" xml:space="preserve"> E$153</f>
        <v>True up Nominal return</v>
      </c>
      <c r="F156" s="184">
        <f t="shared" si="117"/>
        <v>0</v>
      </c>
      <c r="G156" s="184" t="str">
        <f t="shared" si="117"/>
        <v>£m</v>
      </c>
      <c r="H156" s="184">
        <f t="shared" si="117"/>
        <v>0</v>
      </c>
      <c r="I156" s="184">
        <f t="shared" si="117"/>
        <v>0</v>
      </c>
      <c r="J156" s="184">
        <f t="shared" si="117"/>
        <v>0</v>
      </c>
      <c r="K156" s="184">
        <f t="shared" si="117"/>
        <v>0</v>
      </c>
      <c r="L156" s="184">
        <f t="shared" si="117"/>
        <v>0</v>
      </c>
      <c r="M156" s="184">
        <f t="shared" si="117"/>
        <v>16.52182225045188</v>
      </c>
      <c r="N156" s="184">
        <f t="shared" si="117"/>
        <v>16.20469520202511</v>
      </c>
      <c r="O156" s="184">
        <f t="shared" si="117"/>
        <v>15.923232887912993</v>
      </c>
      <c r="P156" s="184">
        <f t="shared" si="117"/>
        <v>15.654187866799992</v>
      </c>
      <c r="Q156" s="184">
        <f t="shared" si="117"/>
        <v>15.389688733063943</v>
      </c>
      <c r="R156" s="184">
        <f t="shared" si="117"/>
        <v>0</v>
      </c>
    </row>
    <row r="157" spans="1:26" x14ac:dyDescent="0.25">
      <c r="C157" s="278"/>
      <c r="E157" s="7" t="s">
        <v>321</v>
      </c>
      <c r="F157" s="244"/>
      <c r="G157" s="184" t="str">
        <f t="shared" ref="G157" si="118">G$155</f>
        <v>£m</v>
      </c>
      <c r="H157" s="244">
        <f>SUM(J157:R157)</f>
        <v>281.08965987313297</v>
      </c>
      <c r="I157" s="244"/>
      <c r="J157" s="244">
        <f t="shared" ref="J157:R157" si="119">SUM(J155:J156)</f>
        <v>0</v>
      </c>
      <c r="K157" s="244">
        <f t="shared" si="119"/>
        <v>0</v>
      </c>
      <c r="L157" s="244">
        <f>SUM(L155:L156)</f>
        <v>0</v>
      </c>
      <c r="M157" s="244">
        <f t="shared" si="119"/>
        <v>58.274589514485982</v>
      </c>
      <c r="N157" s="244">
        <f t="shared" si="119"/>
        <v>57.15604167570234</v>
      </c>
      <c r="O157" s="244">
        <f t="shared" si="119"/>
        <v>56.163287936432916</v>
      </c>
      <c r="P157" s="244">
        <f t="shared" si="119"/>
        <v>55.214331584729784</v>
      </c>
      <c r="Q157" s="244">
        <f t="shared" si="119"/>
        <v>54.28140916178193</v>
      </c>
      <c r="R157" s="244">
        <f t="shared" si="119"/>
        <v>0</v>
      </c>
    </row>
    <row r="159" spans="1:26" x14ac:dyDescent="0.25">
      <c r="E159" s="7" t="str">
        <f t="shared" ref="E159:R159" si="120" xml:space="preserve"> E$157</f>
        <v>Total True up Nominal revenue to company</v>
      </c>
      <c r="F159" s="184">
        <f t="shared" si="120"/>
        <v>0</v>
      </c>
      <c r="G159" s="184" t="str">
        <f t="shared" si="120"/>
        <v>£m</v>
      </c>
      <c r="H159" s="184">
        <f t="shared" si="120"/>
        <v>281.08965987313297</v>
      </c>
      <c r="I159" s="184">
        <f t="shared" si="120"/>
        <v>0</v>
      </c>
      <c r="J159" s="184">
        <f t="shared" si="120"/>
        <v>0</v>
      </c>
      <c r="K159" s="184">
        <f t="shared" si="120"/>
        <v>0</v>
      </c>
      <c r="L159" s="184">
        <f t="shared" si="120"/>
        <v>0</v>
      </c>
      <c r="M159" s="184">
        <f t="shared" si="120"/>
        <v>58.274589514485982</v>
      </c>
      <c r="N159" s="184">
        <f t="shared" si="120"/>
        <v>57.15604167570234</v>
      </c>
      <c r="O159" s="184">
        <f t="shared" si="120"/>
        <v>56.163287936432916</v>
      </c>
      <c r="P159" s="184">
        <f t="shared" si="120"/>
        <v>55.214331584729784</v>
      </c>
      <c r="Q159" s="184">
        <f t="shared" si="120"/>
        <v>54.28140916178193</v>
      </c>
      <c r="R159" s="184">
        <f t="shared" si="120"/>
        <v>0</v>
      </c>
    </row>
    <row r="160" spans="1:26" x14ac:dyDescent="0.25">
      <c r="E160" s="7" t="str">
        <f t="shared" ref="E160:R160" si="121" xml:space="preserve"> E$108</f>
        <v>Total nominal revenue company should have received</v>
      </c>
      <c r="F160" s="184">
        <f t="shared" si="121"/>
        <v>0</v>
      </c>
      <c r="G160" s="184" t="str">
        <f t="shared" si="121"/>
        <v>£m</v>
      </c>
      <c r="H160" s="184">
        <f t="shared" si="121"/>
        <v>289.29572004762264</v>
      </c>
      <c r="I160" s="184">
        <f t="shared" si="121"/>
        <v>0</v>
      </c>
      <c r="J160" s="184">
        <f t="shared" si="121"/>
        <v>0</v>
      </c>
      <c r="K160" s="184">
        <f t="shared" si="121"/>
        <v>0</v>
      </c>
      <c r="L160" s="184">
        <f t="shared" si="121"/>
        <v>0</v>
      </c>
      <c r="M160" s="184">
        <f t="shared" si="121"/>
        <v>58.061308634925936</v>
      </c>
      <c r="N160" s="184">
        <f t="shared" si="121"/>
        <v>57.581772428208822</v>
      </c>
      <c r="O160" s="184">
        <f t="shared" si="121"/>
        <v>58.240706910961507</v>
      </c>
      <c r="P160" s="184">
        <f t="shared" si="121"/>
        <v>58.110163636716806</v>
      </c>
      <c r="Q160" s="184">
        <f t="shared" si="121"/>
        <v>57.30176843680956</v>
      </c>
      <c r="R160" s="184">
        <f t="shared" si="121"/>
        <v>0</v>
      </c>
    </row>
    <row r="161" spans="1:16383" s="185" customFormat="1" x14ac:dyDescent="0.25">
      <c r="A161" s="252"/>
      <c r="B161" s="181"/>
      <c r="C161" s="182"/>
      <c r="D161" s="253"/>
      <c r="E161" s="7" t="s">
        <v>268</v>
      </c>
      <c r="G161" s="185" t="str">
        <f t="shared" ref="G161" si="122" xml:space="preserve"> G$153</f>
        <v>£m</v>
      </c>
      <c r="H161" s="185">
        <f xml:space="preserve"> SUM(J161:R161)</f>
        <v>8.2060601744896786</v>
      </c>
      <c r="J161" s="185">
        <f t="shared" ref="J161:K161" si="123">J160-J159</f>
        <v>0</v>
      </c>
      <c r="K161" s="185">
        <f t="shared" si="123"/>
        <v>0</v>
      </c>
      <c r="L161" s="185">
        <f>L160-L159</f>
        <v>0</v>
      </c>
      <c r="M161" s="185">
        <f>M160-M159</f>
        <v>-0.21328087956004538</v>
      </c>
      <c r="N161" s="185">
        <f t="shared" ref="N161:R161" si="124">N160-N159</f>
        <v>0.42573075250648174</v>
      </c>
      <c r="O161" s="185">
        <f t="shared" si="124"/>
        <v>2.0774189745285909</v>
      </c>
      <c r="P161" s="185">
        <f t="shared" si="124"/>
        <v>2.8958320519870213</v>
      </c>
      <c r="Q161" s="185">
        <f t="shared" si="124"/>
        <v>3.02035927502763</v>
      </c>
      <c r="R161" s="185">
        <f t="shared" si="124"/>
        <v>0</v>
      </c>
    </row>
    <row r="163" spans="1:16383" s="91" customFormat="1" x14ac:dyDescent="0.25">
      <c r="A163" s="170"/>
      <c r="B163" s="165"/>
      <c r="C163" s="166"/>
      <c r="D163" s="171"/>
      <c r="E163" s="7" t="str">
        <f t="shared" ref="E163:R163" si="125" xml:space="preserve"> E$161</f>
        <v>Value of True up nominal</v>
      </c>
      <c r="F163" s="248">
        <f t="shared" si="125"/>
        <v>0</v>
      </c>
      <c r="G163" s="248" t="str">
        <f t="shared" si="125"/>
        <v>£m</v>
      </c>
      <c r="H163" s="248">
        <f t="shared" si="125"/>
        <v>8.2060601744896786</v>
      </c>
      <c r="I163" s="248">
        <f t="shared" si="125"/>
        <v>0</v>
      </c>
      <c r="J163" s="248">
        <f t="shared" si="125"/>
        <v>0</v>
      </c>
      <c r="K163" s="248">
        <f t="shared" si="125"/>
        <v>0</v>
      </c>
      <c r="L163" s="248">
        <f t="shared" si="125"/>
        <v>0</v>
      </c>
      <c r="M163" s="248">
        <f t="shared" si="125"/>
        <v>-0.21328087956004538</v>
      </c>
      <c r="N163" s="248">
        <f t="shared" si="125"/>
        <v>0.42573075250648174</v>
      </c>
      <c r="O163" s="248">
        <f t="shared" si="125"/>
        <v>2.0774189745285909</v>
      </c>
      <c r="P163" s="248">
        <f t="shared" si="125"/>
        <v>2.8958320519870213</v>
      </c>
      <c r="Q163" s="248">
        <f t="shared" si="125"/>
        <v>3.02035927502763</v>
      </c>
      <c r="R163" s="248">
        <f t="shared" si="125"/>
        <v>0</v>
      </c>
      <c r="S163" s="92"/>
      <c r="T163" s="92"/>
      <c r="U163" s="92"/>
      <c r="V163" s="92"/>
      <c r="W163" s="92"/>
      <c r="X163" s="92"/>
      <c r="Y163" s="92"/>
      <c r="Z163" s="92"/>
    </row>
    <row r="164" spans="1:16383" s="91" customFormat="1" x14ac:dyDescent="0.25">
      <c r="A164" s="170"/>
      <c r="B164" s="165"/>
      <c r="C164" s="166"/>
      <c r="D164" s="171"/>
      <c r="E164" s="7" t="str">
        <f t="shared" ref="E164:R164" si="126" xml:space="preserve"> E$116</f>
        <v>Difference in nominal revenue</v>
      </c>
      <c r="F164" s="248">
        <f t="shared" si="126"/>
        <v>0</v>
      </c>
      <c r="G164" s="248" t="str">
        <f t="shared" si="126"/>
        <v>£m</v>
      </c>
      <c r="H164" s="248">
        <f t="shared" si="126"/>
        <v>8.2060601744896786</v>
      </c>
      <c r="I164" s="248">
        <f t="shared" si="126"/>
        <v>0</v>
      </c>
      <c r="J164" s="248">
        <f t="shared" si="126"/>
        <v>0</v>
      </c>
      <c r="K164" s="248">
        <f t="shared" si="126"/>
        <v>0</v>
      </c>
      <c r="L164" s="248">
        <f t="shared" si="126"/>
        <v>0</v>
      </c>
      <c r="M164" s="248">
        <f t="shared" si="126"/>
        <v>-0.21328087956004538</v>
      </c>
      <c r="N164" s="248">
        <f t="shared" si="126"/>
        <v>0.42573075250648174</v>
      </c>
      <c r="O164" s="248">
        <f t="shared" si="126"/>
        <v>2.0774189745285909</v>
      </c>
      <c r="P164" s="248">
        <f t="shared" si="126"/>
        <v>2.8958320519870213</v>
      </c>
      <c r="Q164" s="248">
        <f t="shared" si="126"/>
        <v>3.02035927502763</v>
      </c>
      <c r="R164" s="248">
        <f t="shared" si="126"/>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88">
        <f>IF( ABS(J163-J164)&gt;ChK_Tol,1,0)</f>
        <v>0</v>
      </c>
      <c r="K165" s="225">
        <f t="shared" ref="K165:Q165" si="127">IF( ABS(K163-K164)&gt;ChK_Tol,1,0)</f>
        <v>0</v>
      </c>
      <c r="L165" s="225">
        <f t="shared" si="127"/>
        <v>0</v>
      </c>
      <c r="M165" s="225">
        <f t="shared" si="127"/>
        <v>0</v>
      </c>
      <c r="N165" s="225">
        <f t="shared" si="127"/>
        <v>0</v>
      </c>
      <c r="O165" s="225">
        <f t="shared" si="127"/>
        <v>0</v>
      </c>
      <c r="P165" s="225">
        <f t="shared" si="127"/>
        <v>0</v>
      </c>
      <c r="Q165" s="225">
        <f t="shared" si="127"/>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28" xml:space="preserve"> N163=N164</f>
        <v>1</v>
      </c>
      <c r="O166" s="186" t="b">
        <f t="shared" si="128"/>
        <v>1</v>
      </c>
      <c r="P166" s="186" t="b">
        <f t="shared" si="128"/>
        <v>1</v>
      </c>
      <c r="Q166" s="186" t="b">
        <f t="shared" si="128"/>
        <v>1</v>
      </c>
    </row>
    <row r="167" spans="1:16383" x14ac:dyDescent="0.25">
      <c r="A167" s="50" t="s">
        <v>278</v>
      </c>
      <c r="B167" s="50"/>
    </row>
    <row r="169" spans="1:16383" x14ac:dyDescent="0.25">
      <c r="E169" s="7" t="str">
        <f>E$42 &amp; " - nominal"</f>
        <v>Forecast RCV average balance - nominal</v>
      </c>
      <c r="F169" s="184">
        <f t="shared" ref="F169:R169" si="129">F$42</f>
        <v>0</v>
      </c>
      <c r="G169" s="7" t="str">
        <f t="shared" si="129"/>
        <v>£m</v>
      </c>
      <c r="H169" s="247">
        <f t="shared" si="129"/>
        <v>0</v>
      </c>
      <c r="I169" s="247">
        <f t="shared" si="129"/>
        <v>0</v>
      </c>
      <c r="J169" s="184">
        <f t="shared" si="129"/>
        <v>0</v>
      </c>
      <c r="K169" s="184">
        <f t="shared" si="129"/>
        <v>0</v>
      </c>
      <c r="L169" s="184">
        <f t="shared" si="129"/>
        <v>430.17863759509726</v>
      </c>
      <c r="M169" s="185">
        <f t="shared" si="129"/>
        <v>860.35151707418663</v>
      </c>
      <c r="N169" s="184">
        <f t="shared" si="129"/>
        <v>843.8375555339112</v>
      </c>
      <c r="O169" s="184">
        <f t="shared" si="129"/>
        <v>829.18078672991635</v>
      </c>
      <c r="P169" s="184">
        <f t="shared" si="129"/>
        <v>815.17063164127308</v>
      </c>
      <c r="Q169" s="184">
        <f t="shared" si="129"/>
        <v>801.39719748098287</v>
      </c>
      <c r="R169" s="184">
        <f t="shared" si="129"/>
        <v>805.4098773846224</v>
      </c>
    </row>
    <row r="170" spans="1:16383" x14ac:dyDescent="0.25">
      <c r="E170" s="7" t="str">
        <f>E$93 &amp; " - nominal"</f>
        <v>Actual average RCV balance - nominal</v>
      </c>
      <c r="F170" s="184">
        <f t="shared" ref="F170:R170" si="130">F$93</f>
        <v>0</v>
      </c>
      <c r="G170" s="7" t="str">
        <f t="shared" si="130"/>
        <v>£m</v>
      </c>
      <c r="H170" s="247">
        <f t="shared" si="130"/>
        <v>0</v>
      </c>
      <c r="I170" s="247">
        <f t="shared" si="130"/>
        <v>0</v>
      </c>
      <c r="J170" s="184">
        <f t="shared" si="130"/>
        <v>0</v>
      </c>
      <c r="K170" s="184">
        <f t="shared" si="130"/>
        <v>0</v>
      </c>
      <c r="L170" s="184">
        <f t="shared" si="130"/>
        <v>430.17863759509726</v>
      </c>
      <c r="M170" s="185">
        <f t="shared" si="130"/>
        <v>857.20269131975056</v>
      </c>
      <c r="N170" s="184">
        <f t="shared" si="130"/>
        <v>850.12293826823384</v>
      </c>
      <c r="O170" s="184">
        <f t="shared" si="130"/>
        <v>859.85128275958095</v>
      </c>
      <c r="P170" s="184">
        <f t="shared" si="130"/>
        <v>857.92397439111369</v>
      </c>
      <c r="Q170" s="184">
        <f t="shared" si="130"/>
        <v>845.98902911856408</v>
      </c>
      <c r="R170" s="184">
        <f t="shared" si="130"/>
        <v>841.97037349985033</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2" si="131" xml:space="preserve"> IF(J$171 = 0, 0, J169 / J$171)</f>
        <v>0</v>
      </c>
      <c r="K172" s="184">
        <f t="shared" si="131"/>
        <v>0</v>
      </c>
      <c r="L172" s="184">
        <f t="shared" si="131"/>
        <v>412.99676611187499</v>
      </c>
      <c r="M172" s="184">
        <f t="shared" si="131"/>
        <v>809.92425748840901</v>
      </c>
      <c r="N172" s="184">
        <f t="shared" si="131"/>
        <v>778.77012110786302</v>
      </c>
      <c r="O172" s="184">
        <f t="shared" si="131"/>
        <v>749.68658551656085</v>
      </c>
      <c r="P172" s="184">
        <f t="shared" si="131"/>
        <v>721.86052379652915</v>
      </c>
      <c r="Q172" s="184">
        <f t="shared" si="131"/>
        <v>695.06727995773588</v>
      </c>
      <c r="R172" s="184">
        <f t="shared" si="131"/>
        <v>684.85054392268216</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ref="J173:R173" si="132" xml:space="preserve"> IF(J$171 = 0, 0, J170 / J$171)</f>
        <v>0</v>
      </c>
      <c r="K173" s="184">
        <f t="shared" si="132"/>
        <v>0</v>
      </c>
      <c r="L173" s="184">
        <f t="shared" si="132"/>
        <v>412.99676611187499</v>
      </c>
      <c r="M173" s="184">
        <f t="shared" si="132"/>
        <v>806.95999194053752</v>
      </c>
      <c r="N173" s="184">
        <f t="shared" si="132"/>
        <v>784.57084453041875</v>
      </c>
      <c r="O173" s="184">
        <f t="shared" si="132"/>
        <v>777.41667744893448</v>
      </c>
      <c r="P173" s="184">
        <f t="shared" si="132"/>
        <v>759.72002117478326</v>
      </c>
      <c r="Q173" s="184">
        <f t="shared" si="132"/>
        <v>733.7426374734481</v>
      </c>
      <c r="R173" s="184">
        <f t="shared" si="132"/>
        <v>715.9384115459394</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133">K173-K172</f>
        <v>0</v>
      </c>
      <c r="L174" s="185">
        <f t="shared" si="133"/>
        <v>0</v>
      </c>
      <c r="M174" s="185">
        <f t="shared" si="133"/>
        <v>-2.9642655478714914</v>
      </c>
      <c r="N174" s="185">
        <f t="shared" si="133"/>
        <v>5.800723422555734</v>
      </c>
      <c r="O174" s="185">
        <f t="shared" si="133"/>
        <v>27.730091932373625</v>
      </c>
      <c r="P174" s="185">
        <f t="shared" si="133"/>
        <v>37.859497378254105</v>
      </c>
      <c r="Q174" s="185">
        <f t="shared" si="133"/>
        <v>38.675357515712221</v>
      </c>
      <c r="R174" s="185">
        <f t="shared" si="133"/>
        <v>31.087867623257239</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134">F$174</f>
        <v>0</v>
      </c>
      <c r="G176" s="184" t="str">
        <f t="shared" si="134"/>
        <v>£m</v>
      </c>
      <c r="H176" s="244">
        <f t="shared" si="134"/>
        <v>0</v>
      </c>
      <c r="I176" s="184">
        <f t="shared" si="134"/>
        <v>0</v>
      </c>
      <c r="J176" s="185">
        <f t="shared" si="134"/>
        <v>0</v>
      </c>
      <c r="K176" s="185">
        <f t="shared" si="134"/>
        <v>0</v>
      </c>
      <c r="L176" s="185">
        <f t="shared" si="134"/>
        <v>0</v>
      </c>
      <c r="M176" s="185">
        <f t="shared" si="134"/>
        <v>-2.9642655478714914</v>
      </c>
      <c r="N176" s="185">
        <f t="shared" si="134"/>
        <v>5.800723422555734</v>
      </c>
      <c r="O176" s="185">
        <f t="shared" si="134"/>
        <v>27.730091932373625</v>
      </c>
      <c r="P176" s="185">
        <f t="shared" si="134"/>
        <v>37.859497378254105</v>
      </c>
      <c r="Q176" s="185">
        <f t="shared" si="134"/>
        <v>38.675357515712221</v>
      </c>
      <c r="R176" s="185">
        <f t="shared" si="134"/>
        <v>31.087867623257239</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358</v>
      </c>
      <c r="F178" s="271"/>
      <c r="G178" s="271" t="s">
        <v>88</v>
      </c>
      <c r="H178" s="270"/>
      <c r="I178" s="271"/>
      <c r="J178" s="271">
        <f xml:space="preserve"> J176 * J177</f>
        <v>0</v>
      </c>
      <c r="K178" s="271">
        <f t="shared" ref="K178:R178" si="135" xml:space="preserve"> K176 * K177</f>
        <v>0</v>
      </c>
      <c r="L178" s="271">
        <f t="shared" si="135"/>
        <v>0</v>
      </c>
      <c r="M178" s="271">
        <f t="shared" si="135"/>
        <v>0</v>
      </c>
      <c r="N178" s="271">
        <f t="shared" si="135"/>
        <v>0</v>
      </c>
      <c r="O178" s="271">
        <f t="shared" si="135"/>
        <v>0</v>
      </c>
      <c r="P178" s="271">
        <f t="shared" si="135"/>
        <v>0</v>
      </c>
      <c r="Q178" s="271">
        <f t="shared" si="135"/>
        <v>38.675357515712221</v>
      </c>
      <c r="R178" s="271">
        <f t="shared" si="13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136">F$135</f>
        <v>0</v>
      </c>
      <c r="G182" s="184" t="str">
        <f t="shared" si="136"/>
        <v>£m</v>
      </c>
      <c r="H182" s="184">
        <f t="shared" si="136"/>
        <v>0</v>
      </c>
      <c r="I182" s="184">
        <f t="shared" si="136"/>
        <v>0</v>
      </c>
      <c r="J182" s="184">
        <f t="shared" si="136"/>
        <v>0</v>
      </c>
      <c r="K182" s="184">
        <f t="shared" si="136"/>
        <v>0</v>
      </c>
      <c r="L182" s="184">
        <f t="shared" si="136"/>
        <v>0</v>
      </c>
      <c r="M182" s="185">
        <f t="shared" si="136"/>
        <v>41.752767264034105</v>
      </c>
      <c r="N182" s="184">
        <f t="shared" si="136"/>
        <v>40.951346473677233</v>
      </c>
      <c r="O182" s="184">
        <f t="shared" si="136"/>
        <v>40.24005504851992</v>
      </c>
      <c r="P182" s="184">
        <f t="shared" si="136"/>
        <v>39.56014371792979</v>
      </c>
      <c r="Q182" s="184">
        <f t="shared" si="136"/>
        <v>38.891720428717989</v>
      </c>
      <c r="R182" s="184">
        <f t="shared" si="13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37">F$153</f>
        <v>0</v>
      </c>
      <c r="G183" s="184" t="str">
        <f t="shared" si="137"/>
        <v>£m</v>
      </c>
      <c r="H183" s="184">
        <f t="shared" si="137"/>
        <v>0</v>
      </c>
      <c r="I183" s="184">
        <f t="shared" si="137"/>
        <v>0</v>
      </c>
      <c r="J183" s="184">
        <f t="shared" si="137"/>
        <v>0</v>
      </c>
      <c r="K183" s="184">
        <f t="shared" si="137"/>
        <v>0</v>
      </c>
      <c r="L183" s="184">
        <f t="shared" si="137"/>
        <v>0</v>
      </c>
      <c r="M183" s="184">
        <f t="shared" si="137"/>
        <v>16.52182225045188</v>
      </c>
      <c r="N183" s="184">
        <f t="shared" si="137"/>
        <v>16.20469520202511</v>
      </c>
      <c r="O183" s="184">
        <f t="shared" si="137"/>
        <v>15.923232887912993</v>
      </c>
      <c r="P183" s="184">
        <f t="shared" si="137"/>
        <v>15.654187866799992</v>
      </c>
      <c r="Q183" s="184">
        <f t="shared" si="137"/>
        <v>15.389688733063943</v>
      </c>
      <c r="R183" s="184">
        <f t="shared" si="13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38">F$157</f>
        <v>0</v>
      </c>
      <c r="G184" s="184" t="str">
        <f t="shared" si="138"/>
        <v>£m</v>
      </c>
      <c r="H184" s="184">
        <f t="shared" si="138"/>
        <v>281.08965987313297</v>
      </c>
      <c r="I184" s="184">
        <f t="shared" si="138"/>
        <v>0</v>
      </c>
      <c r="J184" s="184">
        <f t="shared" si="138"/>
        <v>0</v>
      </c>
      <c r="K184" s="184">
        <f t="shared" si="138"/>
        <v>0</v>
      </c>
      <c r="L184" s="184">
        <f t="shared" si="138"/>
        <v>0</v>
      </c>
      <c r="M184" s="184">
        <f t="shared" si="138"/>
        <v>58.274589514485982</v>
      </c>
      <c r="N184" s="184">
        <f t="shared" si="138"/>
        <v>57.15604167570234</v>
      </c>
      <c r="O184" s="184">
        <f t="shared" si="138"/>
        <v>56.163287936432916</v>
      </c>
      <c r="P184" s="184">
        <f t="shared" si="138"/>
        <v>55.214331584729784</v>
      </c>
      <c r="Q184" s="184">
        <f t="shared" si="138"/>
        <v>54.28140916178193</v>
      </c>
      <c r="R184" s="184">
        <f t="shared" si="13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39">F$106</f>
        <v>0</v>
      </c>
      <c r="G185" s="184" t="str">
        <f t="shared" si="139"/>
        <v>£m</v>
      </c>
      <c r="H185" s="184">
        <f t="shared" si="139"/>
        <v>0</v>
      </c>
      <c r="I185" s="184">
        <f t="shared" si="139"/>
        <v>0</v>
      </c>
      <c r="J185" s="184">
        <f t="shared" si="139"/>
        <v>0</v>
      </c>
      <c r="K185" s="184">
        <f t="shared" si="139"/>
        <v>0</v>
      </c>
      <c r="L185" s="184">
        <f t="shared" si="139"/>
        <v>0</v>
      </c>
      <c r="M185" s="184">
        <f t="shared" si="139"/>
        <v>41.599955086370883</v>
      </c>
      <c r="N185" s="184">
        <f t="shared" si="139"/>
        <v>41.256375426684727</v>
      </c>
      <c r="O185" s="184">
        <f t="shared" si="139"/>
        <v>41.728490946156221</v>
      </c>
      <c r="P185" s="184">
        <f t="shared" si="139"/>
        <v>41.634958876812874</v>
      </c>
      <c r="Q185" s="184">
        <f t="shared" si="139"/>
        <v>41.055757257027985</v>
      </c>
      <c r="R185" s="184">
        <f t="shared" si="13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40">F$107</f>
        <v>0</v>
      </c>
      <c r="G186" s="184" t="str">
        <f t="shared" si="140"/>
        <v>£m</v>
      </c>
      <c r="H186" s="184">
        <f t="shared" si="140"/>
        <v>0</v>
      </c>
      <c r="I186" s="184">
        <f t="shared" si="140"/>
        <v>0</v>
      </c>
      <c r="J186" s="184">
        <f t="shared" si="140"/>
        <v>0</v>
      </c>
      <c r="K186" s="184">
        <f t="shared" si="140"/>
        <v>0</v>
      </c>
      <c r="L186" s="184">
        <f t="shared" si="140"/>
        <v>0</v>
      </c>
      <c r="M186" s="184">
        <f t="shared" si="140"/>
        <v>16.461353548555056</v>
      </c>
      <c r="N186" s="184">
        <f t="shared" si="140"/>
        <v>16.325397001524099</v>
      </c>
      <c r="O186" s="184">
        <f t="shared" si="140"/>
        <v>16.512215964805289</v>
      </c>
      <c r="P186" s="184">
        <f t="shared" si="140"/>
        <v>16.475204759903935</v>
      </c>
      <c r="Q186" s="184">
        <f t="shared" si="140"/>
        <v>16.246011179781576</v>
      </c>
      <c r="R186" s="184">
        <f t="shared" si="14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41">F$108</f>
        <v>0</v>
      </c>
      <c r="G187" s="184" t="str">
        <f t="shared" si="141"/>
        <v>£m</v>
      </c>
      <c r="H187" s="184">
        <f t="shared" si="141"/>
        <v>289.29572004762264</v>
      </c>
      <c r="I187" s="184">
        <f t="shared" si="141"/>
        <v>0</v>
      </c>
      <c r="J187" s="184">
        <f t="shared" si="141"/>
        <v>0</v>
      </c>
      <c r="K187" s="184">
        <f t="shared" si="141"/>
        <v>0</v>
      </c>
      <c r="L187" s="184">
        <f t="shared" si="141"/>
        <v>0</v>
      </c>
      <c r="M187" s="184">
        <f t="shared" si="141"/>
        <v>58.061308634925936</v>
      </c>
      <c r="N187" s="184">
        <f t="shared" si="141"/>
        <v>57.581772428208822</v>
      </c>
      <c r="O187" s="184">
        <f t="shared" si="141"/>
        <v>58.240706910961507</v>
      </c>
      <c r="P187" s="184">
        <f t="shared" si="141"/>
        <v>58.110163636716806</v>
      </c>
      <c r="Q187" s="184">
        <f t="shared" si="141"/>
        <v>57.30176843680956</v>
      </c>
      <c r="R187" s="184">
        <f t="shared" si="14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42" xml:space="preserve"> E182 &amp; "- real"</f>
        <v>True up Nominal RCV run-off- real</v>
      </c>
      <c r="F189" s="184"/>
      <c r="G189" s="184" t="str">
        <f t="shared" ref="G189:G194" si="143">G$155</f>
        <v>£m</v>
      </c>
      <c r="H189" s="244">
        <f t="shared" ref="H189:H194" si="144">SUM(J189:R189)</f>
        <v>182.244733550951</v>
      </c>
      <c r="I189" s="184"/>
      <c r="J189" s="184">
        <f t="shared" ref="J189:R189" si="145" xml:space="preserve"> IF(J$188 = 0, 0, J182 / J$188)</f>
        <v>0</v>
      </c>
      <c r="K189" s="184">
        <f t="shared" si="145"/>
        <v>0</v>
      </c>
      <c r="L189" s="184">
        <f t="shared" si="145"/>
        <v>0</v>
      </c>
      <c r="M189" s="185">
        <f t="shared" si="145"/>
        <v>39.305537740445722</v>
      </c>
      <c r="N189" s="184">
        <f t="shared" si="145"/>
        <v>37.793630828219342</v>
      </c>
      <c r="O189" s="184">
        <f t="shared" si="145"/>
        <v>36.382209951217291</v>
      </c>
      <c r="P189" s="184">
        <f t="shared" si="145"/>
        <v>35.031814146927736</v>
      </c>
      <c r="Q189" s="184">
        <f t="shared" si="145"/>
        <v>33.731540884140912</v>
      </c>
      <c r="R189" s="184">
        <f t="shared" si="145"/>
        <v>0</v>
      </c>
      <c r="S189" s="92"/>
      <c r="T189" s="92"/>
      <c r="U189" s="92"/>
      <c r="V189" s="92"/>
      <c r="W189" s="92"/>
      <c r="X189" s="92"/>
      <c r="Y189" s="92"/>
      <c r="Z189" s="92"/>
    </row>
    <row r="190" spans="1:26" s="91" customFormat="1" x14ac:dyDescent="0.25">
      <c r="A190" s="170"/>
      <c r="B190" s="165"/>
      <c r="C190" s="166"/>
      <c r="D190" s="171"/>
      <c r="E190" s="7" t="str">
        <f t="shared" si="142"/>
        <v>True up Nominal return- real</v>
      </c>
      <c r="F190" s="184"/>
      <c r="G190" s="184" t="str">
        <f t="shared" si="143"/>
        <v>£m</v>
      </c>
      <c r="H190" s="244">
        <f t="shared" si="144"/>
        <v>72.11534207466697</v>
      </c>
      <c r="I190" s="184"/>
      <c r="J190" s="184">
        <f t="shared" ref="J190:R190" si="146" xml:space="preserve"> IF(J$188 = 0, 0, J183 / J$188)</f>
        <v>0</v>
      </c>
      <c r="K190" s="184">
        <f t="shared" si="146"/>
        <v>0</v>
      </c>
      <c r="L190" s="184">
        <f t="shared" si="146"/>
        <v>0</v>
      </c>
      <c r="M190" s="185">
        <f t="shared" si="146"/>
        <v>15.553438743339667</v>
      </c>
      <c r="N190" s="184">
        <f xml:space="preserve"> IF(N$188 = 0, 0, N183 / N$188)</f>
        <v>14.955168044176904</v>
      </c>
      <c r="O190" s="184">
        <f t="shared" si="146"/>
        <v>14.396660276226108</v>
      </c>
      <c r="P190" s="184">
        <f t="shared" si="146"/>
        <v>13.862300498222922</v>
      </c>
      <c r="Q190" s="184">
        <f t="shared" si="146"/>
        <v>13.347774512701369</v>
      </c>
      <c r="R190" s="184">
        <f t="shared" si="146"/>
        <v>0</v>
      </c>
      <c r="S190" s="92"/>
      <c r="T190" s="92"/>
      <c r="U190" s="92"/>
      <c r="V190" s="92"/>
      <c r="W190" s="92"/>
      <c r="X190" s="92"/>
      <c r="Y190" s="92"/>
      <c r="Z190" s="92"/>
    </row>
    <row r="191" spans="1:26" s="91" customFormat="1" x14ac:dyDescent="0.25">
      <c r="A191" s="170"/>
      <c r="B191" s="165"/>
      <c r="C191" s="166"/>
      <c r="D191" s="171"/>
      <c r="E191" s="7" t="str">
        <f t="shared" si="142"/>
        <v>Total True up Nominal revenue to company- real</v>
      </c>
      <c r="F191" s="184"/>
      <c r="G191" s="184" t="str">
        <f t="shared" si="143"/>
        <v>£m</v>
      </c>
      <c r="H191" s="244">
        <f t="shared" si="144"/>
        <v>254.36007562561798</v>
      </c>
      <c r="I191" s="184"/>
      <c r="J191" s="184">
        <f t="shared" ref="J191:R191" si="147" xml:space="preserve"> IF(J$188 = 0, 0, J184 / J$188)</f>
        <v>0</v>
      </c>
      <c r="K191" s="184">
        <f t="shared" si="147"/>
        <v>0</v>
      </c>
      <c r="L191" s="184">
        <f t="shared" si="147"/>
        <v>0</v>
      </c>
      <c r="M191" s="185">
        <f t="shared" si="147"/>
        <v>54.858976483785383</v>
      </c>
      <c r="N191" s="184">
        <f t="shared" si="147"/>
        <v>52.74879887239625</v>
      </c>
      <c r="O191" s="184">
        <f t="shared" si="147"/>
        <v>50.778870227443406</v>
      </c>
      <c r="P191" s="184">
        <f t="shared" si="147"/>
        <v>48.894114645150658</v>
      </c>
      <c r="Q191" s="184">
        <f t="shared" si="147"/>
        <v>47.079315396842276</v>
      </c>
      <c r="R191" s="184">
        <f t="shared" si="147"/>
        <v>0</v>
      </c>
      <c r="S191" s="92"/>
      <c r="T191" s="92"/>
      <c r="U191" s="92"/>
      <c r="V191" s="92"/>
      <c r="W191" s="92"/>
      <c r="X191" s="92"/>
      <c r="Y191" s="92"/>
      <c r="Z191" s="92"/>
    </row>
    <row r="192" spans="1:26" s="91" customFormat="1" x14ac:dyDescent="0.25">
      <c r="A192" s="170"/>
      <c r="B192" s="165"/>
      <c r="C192" s="166"/>
      <c r="D192" s="171"/>
      <c r="E192" s="7" t="str">
        <f t="shared" si="142"/>
        <v>RCV run-off company should have received- real</v>
      </c>
      <c r="F192" s="184"/>
      <c r="G192" s="184" t="str">
        <f t="shared" si="143"/>
        <v>£m</v>
      </c>
      <c r="H192" s="244">
        <f t="shared" si="144"/>
        <v>187.44235328589406</v>
      </c>
      <c r="I192" s="184"/>
      <c r="J192" s="184">
        <f t="shared" ref="J192:R192" si="148" xml:space="preserve"> IF(J$188 = 0, 0, J185 / J$188)</f>
        <v>0</v>
      </c>
      <c r="K192" s="184">
        <f t="shared" si="148"/>
        <v>0</v>
      </c>
      <c r="L192" s="184">
        <f t="shared" si="148"/>
        <v>0</v>
      </c>
      <c r="M192" s="185">
        <f t="shared" si="148"/>
        <v>39.161682249901617</v>
      </c>
      <c r="N192" s="184">
        <f t="shared" si="148"/>
        <v>38.075139316573775</v>
      </c>
      <c r="O192" s="184">
        <f t="shared" si="148"/>
        <v>37.727948351958482</v>
      </c>
      <c r="P192" s="184">
        <f t="shared" si="148"/>
        <v>36.869131512442713</v>
      </c>
      <c r="Q192" s="184">
        <f t="shared" si="148"/>
        <v>35.608451855017478</v>
      </c>
      <c r="R192" s="184">
        <f t="shared" si="148"/>
        <v>0</v>
      </c>
      <c r="S192" s="92"/>
      <c r="T192" s="92"/>
      <c r="U192" s="92"/>
      <c r="V192" s="92"/>
      <c r="W192" s="92"/>
      <c r="X192" s="92"/>
      <c r="Y192" s="92"/>
      <c r="Z192" s="92"/>
    </row>
    <row r="193" spans="1:26" s="91" customFormat="1" x14ac:dyDescent="0.25">
      <c r="A193" s="170"/>
      <c r="B193" s="165"/>
      <c r="C193" s="166"/>
      <c r="D193" s="171"/>
      <c r="E193" s="7" t="str">
        <f t="shared" si="142"/>
        <v>Nominal return company should have received- real</v>
      </c>
      <c r="F193" s="184"/>
      <c r="G193" s="184" t="str">
        <f t="shared" si="143"/>
        <v>£m</v>
      </c>
      <c r="H193" s="244">
        <f t="shared" si="144"/>
        <v>74.172071604547554</v>
      </c>
      <c r="I193" s="184"/>
      <c r="J193" s="184">
        <f t="shared" ref="J193:R193" si="149" xml:space="preserve"> IF(J$188 = 0, 0, J186 / J$188)</f>
        <v>0</v>
      </c>
      <c r="K193" s="184">
        <f t="shared" si="149"/>
        <v>0</v>
      </c>
      <c r="L193" s="184">
        <f t="shared" si="149"/>
        <v>0</v>
      </c>
      <c r="M193" s="185">
        <f t="shared" si="149"/>
        <v>15.496514256646574</v>
      </c>
      <c r="N193" s="184">
        <f t="shared" si="149"/>
        <v>15.066562653716758</v>
      </c>
      <c r="O193" s="184">
        <f t="shared" si="149"/>
        <v>14.929177091508089</v>
      </c>
      <c r="P193" s="184">
        <f t="shared" si="149"/>
        <v>14.589338079678161</v>
      </c>
      <c r="Q193" s="184">
        <f t="shared" si="149"/>
        <v>14.090479522997967</v>
      </c>
      <c r="R193" s="184">
        <f t="shared" si="149"/>
        <v>0</v>
      </c>
      <c r="S193" s="92"/>
      <c r="T193" s="92"/>
      <c r="U193" s="92"/>
      <c r="V193" s="92"/>
      <c r="W193" s="92"/>
      <c r="X193" s="92"/>
      <c r="Y193" s="92"/>
      <c r="Z193" s="92"/>
    </row>
    <row r="194" spans="1:26" s="91" customFormat="1" x14ac:dyDescent="0.25">
      <c r="A194" s="170"/>
      <c r="B194" s="165"/>
      <c r="C194" s="166"/>
      <c r="D194" s="171"/>
      <c r="E194" s="7" t="str">
        <f t="shared" si="142"/>
        <v>Total nominal revenue company should have received- real</v>
      </c>
      <c r="F194" s="184"/>
      <c r="G194" s="184" t="str">
        <f t="shared" si="143"/>
        <v>£m</v>
      </c>
      <c r="H194" s="244">
        <f t="shared" si="144"/>
        <v>261.61442489044163</v>
      </c>
      <c r="I194" s="184"/>
      <c r="J194" s="184">
        <f t="shared" ref="J194:R194" si="150" xml:space="preserve"> IF(J$188 = 0, 0, J187 / J$188)</f>
        <v>0</v>
      </c>
      <c r="K194" s="184">
        <f t="shared" si="150"/>
        <v>0</v>
      </c>
      <c r="L194" s="184">
        <f t="shared" si="150"/>
        <v>0</v>
      </c>
      <c r="M194" s="185">
        <f t="shared" si="150"/>
        <v>54.658196506548187</v>
      </c>
      <c r="N194" s="184">
        <f t="shared" si="150"/>
        <v>53.141701970290534</v>
      </c>
      <c r="O194" s="184">
        <f t="shared" si="150"/>
        <v>52.657125443466562</v>
      </c>
      <c r="P194" s="184">
        <f t="shared" si="150"/>
        <v>51.458469592120871</v>
      </c>
      <c r="Q194" s="184">
        <f t="shared" si="150"/>
        <v>49.698931378015445</v>
      </c>
      <c r="R194" s="184">
        <f t="shared" si="150"/>
        <v>0</v>
      </c>
      <c r="S194" s="92"/>
      <c r="T194" s="92"/>
      <c r="U194" s="92"/>
      <c r="V194" s="92"/>
      <c r="W194" s="92"/>
      <c r="X194" s="92"/>
      <c r="Y194" s="92"/>
      <c r="Z194" s="92"/>
    </row>
    <row r="196" spans="1:26" x14ac:dyDescent="0.25">
      <c r="E196" s="7" t="str">
        <f>E$189</f>
        <v>True up Nominal RCV run-off- real</v>
      </c>
      <c r="F196" s="184">
        <f t="shared" ref="F196:R196" si="151">F$189</f>
        <v>0</v>
      </c>
      <c r="G196" s="7" t="str">
        <f t="shared" si="151"/>
        <v>£m</v>
      </c>
      <c r="H196" s="247">
        <f t="shared" si="151"/>
        <v>182.244733550951</v>
      </c>
      <c r="I196" s="247">
        <f t="shared" si="151"/>
        <v>0</v>
      </c>
      <c r="J196" s="184">
        <f t="shared" si="151"/>
        <v>0</v>
      </c>
      <c r="K196" s="184">
        <f t="shared" si="151"/>
        <v>0</v>
      </c>
      <c r="L196" s="184">
        <f t="shared" si="151"/>
        <v>0</v>
      </c>
      <c r="M196" s="185">
        <f t="shared" si="151"/>
        <v>39.305537740445722</v>
      </c>
      <c r="N196" s="184">
        <f t="shared" si="151"/>
        <v>37.793630828219342</v>
      </c>
      <c r="O196" s="184">
        <f t="shared" si="151"/>
        <v>36.382209951217291</v>
      </c>
      <c r="P196" s="184">
        <f t="shared" si="151"/>
        <v>35.031814146927736</v>
      </c>
      <c r="Q196" s="184">
        <f t="shared" si="151"/>
        <v>33.731540884140912</v>
      </c>
      <c r="R196" s="184">
        <f t="shared" si="151"/>
        <v>0</v>
      </c>
    </row>
    <row r="197" spans="1:26" x14ac:dyDescent="0.25">
      <c r="E197" s="7" t="str">
        <f>E$192</f>
        <v>RCV run-off company should have received- real</v>
      </c>
      <c r="F197" s="184">
        <f t="shared" ref="F197:R197" si="152">F$192</f>
        <v>0</v>
      </c>
      <c r="G197" s="7" t="str">
        <f t="shared" si="152"/>
        <v>£m</v>
      </c>
      <c r="H197" s="247">
        <f t="shared" si="152"/>
        <v>187.44235328589406</v>
      </c>
      <c r="I197" s="247">
        <f t="shared" si="152"/>
        <v>0</v>
      </c>
      <c r="J197" s="184">
        <f t="shared" si="152"/>
        <v>0</v>
      </c>
      <c r="K197" s="184">
        <f t="shared" si="152"/>
        <v>0</v>
      </c>
      <c r="L197" s="184">
        <f t="shared" si="152"/>
        <v>0</v>
      </c>
      <c r="M197" s="185">
        <f t="shared" si="152"/>
        <v>39.161682249901617</v>
      </c>
      <c r="N197" s="184">
        <f t="shared" si="152"/>
        <v>38.075139316573775</v>
      </c>
      <c r="O197" s="184">
        <f t="shared" si="152"/>
        <v>37.727948351958482</v>
      </c>
      <c r="P197" s="184">
        <f t="shared" si="152"/>
        <v>36.869131512442713</v>
      </c>
      <c r="Q197" s="184">
        <f t="shared" si="152"/>
        <v>35.608451855017478</v>
      </c>
      <c r="R197" s="184">
        <f t="shared" si="152"/>
        <v>0</v>
      </c>
    </row>
    <row r="198" spans="1:26" x14ac:dyDescent="0.25">
      <c r="C198" s="278"/>
      <c r="E198" s="7" t="s">
        <v>269</v>
      </c>
      <c r="G198" s="7" t="s">
        <v>88</v>
      </c>
      <c r="H198" s="185">
        <f xml:space="preserve"> SUM(J198:R198)</f>
        <v>5.1976197349430606</v>
      </c>
      <c r="I198" s="185"/>
      <c r="J198" s="184">
        <f t="shared" ref="J198:K198" si="153">J197-J196</f>
        <v>0</v>
      </c>
      <c r="K198" s="184">
        <f t="shared" si="153"/>
        <v>0</v>
      </c>
      <c r="L198" s="184">
        <f>L197-L196</f>
        <v>0</v>
      </c>
      <c r="M198" s="185">
        <f>M197-M196</f>
        <v>-0.14385549054410518</v>
      </c>
      <c r="N198" s="184">
        <f t="shared" ref="N198:R198" si="154">N197-N196</f>
        <v>0.28150848835443298</v>
      </c>
      <c r="O198" s="184">
        <f t="shared" si="154"/>
        <v>1.3457384007411903</v>
      </c>
      <c r="P198" s="184">
        <f t="shared" si="154"/>
        <v>1.837317365514977</v>
      </c>
      <c r="Q198" s="184">
        <f t="shared" si="154"/>
        <v>1.8769109708765654</v>
      </c>
      <c r="R198" s="184">
        <f t="shared" si="154"/>
        <v>0</v>
      </c>
    </row>
    <row r="200" spans="1:26" x14ac:dyDescent="0.25">
      <c r="E200" s="7" t="str">
        <f>E$190</f>
        <v>True up Nominal return- real</v>
      </c>
      <c r="F200" s="184">
        <f t="shared" ref="F200:R200" si="155">F$190</f>
        <v>0</v>
      </c>
      <c r="G200" s="7" t="str">
        <f t="shared" si="155"/>
        <v>£m</v>
      </c>
      <c r="H200" s="247">
        <f t="shared" si="155"/>
        <v>72.11534207466697</v>
      </c>
      <c r="I200" s="247">
        <f t="shared" si="155"/>
        <v>0</v>
      </c>
      <c r="J200" s="184">
        <f t="shared" si="155"/>
        <v>0</v>
      </c>
      <c r="K200" s="184">
        <f t="shared" si="155"/>
        <v>0</v>
      </c>
      <c r="L200" s="184">
        <f t="shared" si="155"/>
        <v>0</v>
      </c>
      <c r="M200" s="185">
        <f t="shared" si="155"/>
        <v>15.553438743339667</v>
      </c>
      <c r="N200" s="184">
        <f t="shared" si="155"/>
        <v>14.955168044176904</v>
      </c>
      <c r="O200" s="184">
        <f t="shared" si="155"/>
        <v>14.396660276226108</v>
      </c>
      <c r="P200" s="184">
        <f t="shared" si="155"/>
        <v>13.862300498222922</v>
      </c>
      <c r="Q200" s="184">
        <f t="shared" si="155"/>
        <v>13.347774512701369</v>
      </c>
      <c r="R200" s="184">
        <f t="shared" si="155"/>
        <v>0</v>
      </c>
    </row>
    <row r="201" spans="1:26" x14ac:dyDescent="0.25">
      <c r="E201" s="7" t="str">
        <f>E$193</f>
        <v>Nominal return company should have received- real</v>
      </c>
      <c r="F201" s="184">
        <f t="shared" ref="F201:R201" si="156">F$193</f>
        <v>0</v>
      </c>
      <c r="G201" s="7" t="str">
        <f t="shared" si="156"/>
        <v>£m</v>
      </c>
      <c r="H201" s="247">
        <f t="shared" si="156"/>
        <v>74.172071604547554</v>
      </c>
      <c r="I201" s="247">
        <f t="shared" si="156"/>
        <v>0</v>
      </c>
      <c r="J201" s="184">
        <f t="shared" si="156"/>
        <v>0</v>
      </c>
      <c r="K201" s="184">
        <f t="shared" si="156"/>
        <v>0</v>
      </c>
      <c r="L201" s="184">
        <f t="shared" si="156"/>
        <v>0</v>
      </c>
      <c r="M201" s="185">
        <f t="shared" si="156"/>
        <v>15.496514256646574</v>
      </c>
      <c r="N201" s="184">
        <f t="shared" si="156"/>
        <v>15.066562653716758</v>
      </c>
      <c r="O201" s="184">
        <f t="shared" si="156"/>
        <v>14.929177091508089</v>
      </c>
      <c r="P201" s="184">
        <f t="shared" si="156"/>
        <v>14.589338079678161</v>
      </c>
      <c r="Q201" s="184">
        <f t="shared" si="156"/>
        <v>14.090479522997967</v>
      </c>
      <c r="R201" s="184">
        <f t="shared" si="156"/>
        <v>0</v>
      </c>
    </row>
    <row r="202" spans="1:26" x14ac:dyDescent="0.25">
      <c r="C202" s="278"/>
      <c r="E202" s="7" t="s">
        <v>276</v>
      </c>
      <c r="G202" s="7" t="s">
        <v>88</v>
      </c>
      <c r="H202" s="185">
        <f xml:space="preserve"> SUM(J202:R202)</f>
        <v>2.0567295298805792</v>
      </c>
      <c r="I202" s="185"/>
      <c r="J202" s="184">
        <f t="shared" ref="J202:K202" si="157">J201-J200</f>
        <v>0</v>
      </c>
      <c r="K202" s="184">
        <f t="shared" si="157"/>
        <v>0</v>
      </c>
      <c r="L202" s="184">
        <f>L201-L200</f>
        <v>0</v>
      </c>
      <c r="M202" s="185">
        <f>M201-M200</f>
        <v>-5.6924486693093357E-2</v>
      </c>
      <c r="N202" s="184">
        <f t="shared" ref="N202:R202" si="158">N201-N200</f>
        <v>0.11139460953985392</v>
      </c>
      <c r="O202" s="184">
        <f>O201-O200</f>
        <v>0.53251681528198169</v>
      </c>
      <c r="P202" s="184">
        <f t="shared" si="158"/>
        <v>0.72703758145523878</v>
      </c>
      <c r="Q202" s="184">
        <f t="shared" si="158"/>
        <v>0.74270501029659819</v>
      </c>
      <c r="R202" s="184">
        <f t="shared" si="158"/>
        <v>0</v>
      </c>
    </row>
    <row r="204" spans="1:26" x14ac:dyDescent="0.25">
      <c r="E204" s="7" t="str">
        <f>E$191</f>
        <v>Total True up Nominal revenue to company- real</v>
      </c>
      <c r="F204" s="184">
        <f t="shared" ref="F204:R204" si="159">F$191</f>
        <v>0</v>
      </c>
      <c r="G204" s="7" t="str">
        <f t="shared" si="159"/>
        <v>£m</v>
      </c>
      <c r="H204" s="247">
        <f t="shared" si="159"/>
        <v>254.36007562561798</v>
      </c>
      <c r="I204" s="247"/>
      <c r="J204" s="184">
        <f t="shared" si="159"/>
        <v>0</v>
      </c>
      <c r="K204" s="184">
        <f t="shared" si="159"/>
        <v>0</v>
      </c>
      <c r="L204" s="184">
        <f t="shared" si="159"/>
        <v>0</v>
      </c>
      <c r="M204" s="185">
        <f t="shared" si="159"/>
        <v>54.858976483785383</v>
      </c>
      <c r="N204" s="184">
        <f t="shared" si="159"/>
        <v>52.74879887239625</v>
      </c>
      <c r="O204" s="184">
        <f t="shared" si="159"/>
        <v>50.778870227443406</v>
      </c>
      <c r="P204" s="184">
        <f t="shared" si="159"/>
        <v>48.894114645150658</v>
      </c>
      <c r="Q204" s="184">
        <f t="shared" si="159"/>
        <v>47.079315396842276</v>
      </c>
      <c r="R204" s="184">
        <f t="shared" si="159"/>
        <v>0</v>
      </c>
    </row>
    <row r="205" spans="1:26" x14ac:dyDescent="0.25">
      <c r="E205" s="7" t="str">
        <f>E$194</f>
        <v>Total nominal revenue company should have received- real</v>
      </c>
      <c r="F205" s="184">
        <f t="shared" ref="F205:R205" si="160">F$194</f>
        <v>0</v>
      </c>
      <c r="G205" s="7" t="str">
        <f t="shared" si="160"/>
        <v>£m</v>
      </c>
      <c r="H205" s="247">
        <f t="shared" si="160"/>
        <v>261.61442489044163</v>
      </c>
      <c r="I205" s="247"/>
      <c r="J205" s="184">
        <f t="shared" si="160"/>
        <v>0</v>
      </c>
      <c r="K205" s="184">
        <f t="shared" si="160"/>
        <v>0</v>
      </c>
      <c r="L205" s="184">
        <f t="shared" si="160"/>
        <v>0</v>
      </c>
      <c r="M205" s="185">
        <f t="shared" si="160"/>
        <v>54.658196506548187</v>
      </c>
      <c r="N205" s="184">
        <f t="shared" si="160"/>
        <v>53.141701970290534</v>
      </c>
      <c r="O205" s="184">
        <f t="shared" si="160"/>
        <v>52.657125443466562</v>
      </c>
      <c r="P205" s="184">
        <f t="shared" si="160"/>
        <v>51.458469592120871</v>
      </c>
      <c r="Q205" s="184">
        <f t="shared" si="160"/>
        <v>49.698931378015445</v>
      </c>
      <c r="R205" s="184">
        <f t="shared" si="160"/>
        <v>0</v>
      </c>
    </row>
    <row r="206" spans="1:26" x14ac:dyDescent="0.25">
      <c r="C206" s="278"/>
      <c r="E206" s="7" t="s">
        <v>322</v>
      </c>
      <c r="G206" s="7" t="s">
        <v>88</v>
      </c>
      <c r="H206" s="185">
        <f xml:space="preserve"> SUM(J206:R206)</f>
        <v>7.2543492648236239</v>
      </c>
      <c r="I206" s="185"/>
      <c r="J206" s="184">
        <f t="shared" ref="J206:K206" si="161">J205-J204</f>
        <v>0</v>
      </c>
      <c r="K206" s="184">
        <f t="shared" si="161"/>
        <v>0</v>
      </c>
      <c r="L206" s="184">
        <f>L205-L204</f>
        <v>0</v>
      </c>
      <c r="M206" s="185">
        <f>M205-M204</f>
        <v>-0.20077997723719676</v>
      </c>
      <c r="N206" s="184">
        <f t="shared" ref="N206:R206" si="162">N205-N204</f>
        <v>0.39290309789428335</v>
      </c>
      <c r="O206" s="184">
        <f t="shared" si="162"/>
        <v>1.878255216023156</v>
      </c>
      <c r="P206" s="184">
        <f t="shared" si="162"/>
        <v>2.5643549469702123</v>
      </c>
      <c r="Q206" s="184">
        <f t="shared" si="162"/>
        <v>2.619615981173169</v>
      </c>
      <c r="R206" s="184">
        <f t="shared" si="162"/>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InpR!E$109</f>
        <v>WACC real on RCV - CPI(H) bf and additions - WN</v>
      </c>
      <c r="F210" s="205">
        <f>InpR!F$109</f>
        <v>0</v>
      </c>
      <c r="G210" s="223" t="str">
        <f>InpR!G$109</f>
        <v>%</v>
      </c>
      <c r="H210" s="205" t="str">
        <f>InpR!I$109</f>
        <v>PR19 Financial model, 'Water Network' sheet row 860</v>
      </c>
      <c r="I210" s="205" t="e">
        <f>InpR!#REF!</f>
        <v>#REF!</v>
      </c>
      <c r="J210" s="205">
        <f>InpR!J$109</f>
        <v>0</v>
      </c>
      <c r="K210" s="205">
        <f>InpR!K$109</f>
        <v>0</v>
      </c>
      <c r="L210" s="205">
        <f>InpR!L$109</f>
        <v>0</v>
      </c>
      <c r="M210" s="205">
        <f>InpR!M$109</f>
        <v>2.9195763820156317E-2</v>
      </c>
      <c r="N210" s="205">
        <f>InpR!N$109</f>
        <v>2.9195763820156317E-2</v>
      </c>
      <c r="O210" s="205">
        <f>InpR!O$109</f>
        <v>2.9195763820156317E-2</v>
      </c>
      <c r="P210" s="205">
        <f>InpR!P$109</f>
        <v>2.9195763820156317E-2</v>
      </c>
      <c r="Q210" s="205">
        <f>InpR!Q$109</f>
        <v>2.9195763820156317E-2</v>
      </c>
      <c r="R210" s="205">
        <f>InpR!R$109</f>
        <v>0</v>
      </c>
    </row>
    <row r="211" spans="1:18" x14ac:dyDescent="0.25">
      <c r="E211" s="7" t="s">
        <v>272</v>
      </c>
      <c r="G211" s="7" t="s">
        <v>273</v>
      </c>
      <c r="J211" s="255">
        <f xml:space="preserve"> (1 + J$210) ^ J$209</f>
        <v>1</v>
      </c>
      <c r="K211" s="255">
        <f t="shared" ref="K211:R211" si="163" xml:space="preserve"> (1 + K$210) ^ K$209</f>
        <v>1</v>
      </c>
      <c r="L211" s="255">
        <f t="shared" si="163"/>
        <v>1</v>
      </c>
      <c r="M211" s="255">
        <f t="shared" si="163"/>
        <v>1.1219976826191176</v>
      </c>
      <c r="N211" s="255">
        <f t="shared" si="163"/>
        <v>1.0901693555893588</v>
      </c>
      <c r="O211" s="255">
        <f t="shared" si="163"/>
        <v>1.059243920265355</v>
      </c>
      <c r="P211" s="255">
        <f t="shared" si="163"/>
        <v>1.0291957638201563</v>
      </c>
      <c r="Q211" s="255">
        <f t="shared" si="163"/>
        <v>1</v>
      </c>
      <c r="R211" s="255">
        <f t="shared" si="163"/>
        <v>1</v>
      </c>
    </row>
    <row r="213" spans="1:18" x14ac:dyDescent="0.25">
      <c r="B213" s="61" t="s">
        <v>274</v>
      </c>
    </row>
    <row r="214" spans="1:18" x14ac:dyDescent="0.25">
      <c r="E214" s="7" t="str">
        <f>E$198</f>
        <v>Value of True up run-off - real</v>
      </c>
      <c r="F214" s="184">
        <f t="shared" ref="F214:R214" si="164">F$198</f>
        <v>0</v>
      </c>
      <c r="G214" s="7" t="str">
        <f t="shared" si="164"/>
        <v>£m</v>
      </c>
      <c r="H214" s="247">
        <f t="shared" si="164"/>
        <v>5.1976197349430606</v>
      </c>
      <c r="I214" s="247">
        <f t="shared" si="164"/>
        <v>0</v>
      </c>
      <c r="J214" s="184">
        <f t="shared" si="164"/>
        <v>0</v>
      </c>
      <c r="K214" s="184">
        <f t="shared" si="164"/>
        <v>0</v>
      </c>
      <c r="L214" s="184">
        <f t="shared" si="164"/>
        <v>0</v>
      </c>
      <c r="M214" s="185">
        <f t="shared" si="164"/>
        <v>-0.14385549054410518</v>
      </c>
      <c r="N214" s="184">
        <f t="shared" si="164"/>
        <v>0.28150848835443298</v>
      </c>
      <c r="O214" s="184">
        <f t="shared" si="164"/>
        <v>1.3457384007411903</v>
      </c>
      <c r="P214" s="184">
        <f t="shared" si="164"/>
        <v>1.837317365514977</v>
      </c>
      <c r="Q214" s="184">
        <f t="shared" si="164"/>
        <v>1.8769109708765654</v>
      </c>
      <c r="R214" s="184">
        <f t="shared" si="164"/>
        <v>0</v>
      </c>
    </row>
    <row r="215" spans="1:18" x14ac:dyDescent="0.25">
      <c r="E215" s="7" t="str">
        <f>E$211</f>
        <v xml:space="preserve">Time value of money factor </v>
      </c>
      <c r="F215" s="184">
        <f t="shared" ref="F215:R215" si="165">F$211</f>
        <v>0</v>
      </c>
      <c r="G215" s="7" t="str">
        <f t="shared" si="165"/>
        <v>Factor</v>
      </c>
      <c r="H215" s="247">
        <f t="shared" si="165"/>
        <v>0</v>
      </c>
      <c r="I215" s="247">
        <f t="shared" si="165"/>
        <v>0</v>
      </c>
      <c r="J215" s="184">
        <f t="shared" si="165"/>
        <v>1</v>
      </c>
      <c r="K215" s="184">
        <f t="shared" si="165"/>
        <v>1</v>
      </c>
      <c r="L215" s="184">
        <f t="shared" si="165"/>
        <v>1</v>
      </c>
      <c r="M215" s="185">
        <f t="shared" si="165"/>
        <v>1.1219976826191176</v>
      </c>
      <c r="N215" s="184">
        <f t="shared" si="165"/>
        <v>1.0901693555893588</v>
      </c>
      <c r="O215" s="184">
        <f t="shared" si="165"/>
        <v>1.059243920265355</v>
      </c>
      <c r="P215" s="184">
        <f t="shared" si="165"/>
        <v>1.0291957638201563</v>
      </c>
      <c r="Q215" s="184">
        <f t="shared" si="165"/>
        <v>1</v>
      </c>
      <c r="R215" s="184">
        <f t="shared" si="165"/>
        <v>1</v>
      </c>
    </row>
    <row r="216" spans="1:18" s="34" customFormat="1" x14ac:dyDescent="0.25">
      <c r="A216" s="265"/>
      <c r="B216" s="266"/>
      <c r="C216" s="267"/>
      <c r="D216" s="268"/>
      <c r="E216" s="34" t="s">
        <v>357</v>
      </c>
      <c r="G216" s="34" t="s">
        <v>88</v>
      </c>
      <c r="H216" s="271">
        <f xml:space="preserve"> SUM(J216:R216)</f>
        <v>5.3388218398302811</v>
      </c>
      <c r="J216" s="271">
        <f xml:space="preserve"> J214 * J215</f>
        <v>0</v>
      </c>
      <c r="K216" s="271">
        <f t="shared" ref="K216:R216" si="166" xml:space="preserve"> K214 * K215</f>
        <v>0</v>
      </c>
      <c r="L216" s="271">
        <f t="shared" si="166"/>
        <v>0</v>
      </c>
      <c r="M216" s="277">
        <f t="shared" si="166"/>
        <v>-0.16140552702252239</v>
      </c>
      <c r="N216" s="271">
        <f t="shared" si="166"/>
        <v>0.30689192734228671</v>
      </c>
      <c r="O216" s="271">
        <f t="shared" si="166"/>
        <v>1.4254652192527277</v>
      </c>
      <c r="P216" s="271">
        <f t="shared" si="166"/>
        <v>1.8909592493812242</v>
      </c>
      <c r="Q216" s="271">
        <f t="shared" si="166"/>
        <v>1.8769109708765654</v>
      </c>
      <c r="R216" s="271">
        <f t="shared" si="166"/>
        <v>0</v>
      </c>
    </row>
    <row r="218" spans="1:18" x14ac:dyDescent="0.25">
      <c r="B218" s="61" t="s">
        <v>275</v>
      </c>
    </row>
    <row r="219" spans="1:18" x14ac:dyDescent="0.25">
      <c r="E219" s="7" t="str">
        <f>E202</f>
        <v>Value of True up return - real</v>
      </c>
      <c r="F219" s="184">
        <f t="shared" ref="F219:R219" si="167">F202</f>
        <v>0</v>
      </c>
      <c r="G219" s="7" t="str">
        <f t="shared" si="167"/>
        <v>£m</v>
      </c>
      <c r="H219" s="247">
        <f t="shared" si="167"/>
        <v>2.0567295298805792</v>
      </c>
      <c r="I219" s="247">
        <f t="shared" si="167"/>
        <v>0</v>
      </c>
      <c r="J219" s="184">
        <f t="shared" si="167"/>
        <v>0</v>
      </c>
      <c r="K219" s="184">
        <f t="shared" si="167"/>
        <v>0</v>
      </c>
      <c r="L219" s="184">
        <f t="shared" si="167"/>
        <v>0</v>
      </c>
      <c r="M219" s="185">
        <f t="shared" si="167"/>
        <v>-5.6924486693093357E-2</v>
      </c>
      <c r="N219" s="184">
        <f t="shared" si="167"/>
        <v>0.11139460953985392</v>
      </c>
      <c r="O219" s="184">
        <f t="shared" si="167"/>
        <v>0.53251681528198169</v>
      </c>
      <c r="P219" s="184">
        <f t="shared" si="167"/>
        <v>0.72703758145523878</v>
      </c>
      <c r="Q219" s="184">
        <f t="shared" si="167"/>
        <v>0.74270501029659819</v>
      </c>
      <c r="R219" s="184">
        <f t="shared" si="167"/>
        <v>0</v>
      </c>
    </row>
    <row r="220" spans="1:18" x14ac:dyDescent="0.25">
      <c r="E220" s="7" t="str">
        <f>E$211</f>
        <v xml:space="preserve">Time value of money factor </v>
      </c>
      <c r="F220" s="184">
        <f t="shared" ref="F220:R220" si="168">F$211</f>
        <v>0</v>
      </c>
      <c r="G220" s="7" t="str">
        <f t="shared" si="168"/>
        <v>Factor</v>
      </c>
      <c r="H220" s="247">
        <f t="shared" si="168"/>
        <v>0</v>
      </c>
      <c r="I220" s="247">
        <f t="shared" si="168"/>
        <v>0</v>
      </c>
      <c r="J220" s="184">
        <f t="shared" si="168"/>
        <v>1</v>
      </c>
      <c r="K220" s="184">
        <f t="shared" si="168"/>
        <v>1</v>
      </c>
      <c r="L220" s="184">
        <f t="shared" si="168"/>
        <v>1</v>
      </c>
      <c r="M220" s="185">
        <f t="shared" si="168"/>
        <v>1.1219976826191176</v>
      </c>
      <c r="N220" s="184">
        <f t="shared" si="168"/>
        <v>1.0901693555893588</v>
      </c>
      <c r="O220" s="184">
        <f t="shared" si="168"/>
        <v>1.059243920265355</v>
      </c>
      <c r="P220" s="184">
        <f t="shared" si="168"/>
        <v>1.0291957638201563</v>
      </c>
      <c r="Q220" s="184">
        <f t="shared" si="168"/>
        <v>1</v>
      </c>
      <c r="R220" s="184">
        <f t="shared" si="168"/>
        <v>1</v>
      </c>
    </row>
    <row r="221" spans="1:18" s="34" customFormat="1" x14ac:dyDescent="0.25">
      <c r="A221" s="265"/>
      <c r="B221" s="266"/>
      <c r="C221" s="267"/>
      <c r="D221" s="268"/>
      <c r="E221" s="34" t="s">
        <v>356</v>
      </c>
      <c r="G221" s="34" t="s">
        <v>88</v>
      </c>
      <c r="H221" s="271">
        <f xml:space="preserve"> SUM(J221:R221)</f>
        <v>2.1126040558391472</v>
      </c>
      <c r="J221" s="271">
        <f xml:space="preserve"> J219 * J220</f>
        <v>0</v>
      </c>
      <c r="K221" s="271">
        <f t="shared" ref="K221" si="169" xml:space="preserve"> K219 * K220</f>
        <v>0</v>
      </c>
      <c r="L221" s="271">
        <f t="shared" ref="L221" si="170" xml:space="preserve"> L219 * L220</f>
        <v>0</v>
      </c>
      <c r="M221" s="277">
        <f t="shared" ref="M221" si="171" xml:space="preserve"> M219 * M220</f>
        <v>-6.3869142153933536E-2</v>
      </c>
      <c r="N221" s="271">
        <f xml:space="preserve"> N219 * N220</f>
        <v>0.12143898969819078</v>
      </c>
      <c r="O221" s="271">
        <f t="shared" ref="O221" si="172" xml:space="preserve"> O219 * O220</f>
        <v>0.5640651990265082</v>
      </c>
      <c r="P221" s="271">
        <f t="shared" ref="P221" si="173" xml:space="preserve"> P219 * P220</f>
        <v>0.74826399897178364</v>
      </c>
      <c r="Q221" s="271">
        <f t="shared" ref="Q221" si="174" xml:space="preserve"> Q219 * Q220</f>
        <v>0.74270501029659819</v>
      </c>
      <c r="R221" s="271">
        <f t="shared" ref="R221" si="175" xml:space="preserve"> R219 * R220</f>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49" priority="8" stopIfTrue="1" operator="notEqual">
      <formula>0</formula>
    </cfRule>
    <cfRule type="cellIs" dxfId="48" priority="9" stopIfTrue="1" operator="equal">
      <formula>""</formula>
    </cfRule>
  </conditionalFormatting>
  <conditionalFormatting sqref="F165">
    <cfRule type="cellIs" dxfId="47" priority="2" stopIfTrue="1" operator="notEqual">
      <formula>0</formula>
    </cfRule>
    <cfRule type="cellIs" dxfId="46" priority="3" stopIfTrue="1" operator="equal">
      <formula>""</formula>
    </cfRule>
  </conditionalFormatting>
  <conditionalFormatting sqref="J3:Z3">
    <cfRule type="cellIs" dxfId="45" priority="14" operator="equal">
      <formula>"Post-Fcst"</formula>
    </cfRule>
    <cfRule type="cellIs" dxfId="44" priority="15" operator="equal">
      <formula>"Forecast"</formula>
    </cfRule>
    <cfRule type="cellIs" dxfId="43" priority="16" operator="equal">
      <formula>"Pre Fcst"</formula>
    </cfRule>
  </conditionalFormatting>
  <conditionalFormatting sqref="J165:XFD165">
    <cfRule type="cellIs" dxfId="42" priority="10" stopIfTrue="1" operator="notEqual">
      <formula>0</formula>
    </cfRule>
    <cfRule type="cellIs" dxfId="41" priority="11"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3.2" x14ac:dyDescent="0.25"/>
  <cols>
    <col min="1" max="1" width="1.88671875" style="50" customWidth="1"/>
    <col min="2" max="2" width="1.88671875" style="61" customWidth="1"/>
    <col min="3" max="3" width="1.88671875" style="110" customWidth="1"/>
    <col min="4" max="4" width="1.88671875" style="55" customWidth="1"/>
    <col min="5" max="5" width="73.44140625" style="7" bestFit="1" customWidth="1"/>
    <col min="6" max="6" width="12.5546875" style="7" customWidth="1"/>
    <col min="7" max="7" width="10.88671875" style="7" bestFit="1" customWidth="1"/>
    <col min="8" max="8" width="11.5546875" style="7" customWidth="1"/>
    <col min="9" max="9" width="2.5546875" style="7" customWidth="1"/>
    <col min="10" max="18" width="11.5546875" style="7" customWidth="1"/>
    <col min="19" max="26" width="11.5546875" style="7" hidden="1" customWidth="1"/>
    <col min="27" max="16384" width="0" style="7" hidden="1"/>
  </cols>
  <sheetData>
    <row r="1" spans="1:26" s="122" customFormat="1" ht="25.2" x14ac:dyDescent="0.4">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71</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f>Time!J$86</f>
        <v>2018</v>
      </c>
      <c r="K4">
        <f>Time!K$86</f>
        <v>2019</v>
      </c>
      <c r="L4">
        <f>Time!L$86</f>
        <v>2020</v>
      </c>
      <c r="M4">
        <f>Time!M$86</f>
        <v>2021</v>
      </c>
      <c r="N4">
        <f>Time!N$86</f>
        <v>2022</v>
      </c>
      <c r="O4">
        <f>Time!O$86</f>
        <v>2023</v>
      </c>
      <c r="P4">
        <f>Time!P$86</f>
        <v>2024</v>
      </c>
      <c r="Q4">
        <f>Time!Q$86</f>
        <v>2025</v>
      </c>
      <c r="R4">
        <f>Time!R$86</f>
        <v>2026</v>
      </c>
      <c r="S4" s="21"/>
      <c r="T4" s="21"/>
      <c r="U4" s="21"/>
      <c r="V4" s="21"/>
      <c r="W4" s="21"/>
      <c r="X4" s="21"/>
      <c r="Y4" s="21"/>
      <c r="Z4" s="21"/>
    </row>
    <row r="5" spans="1:26" s="24" customFormat="1" x14ac:dyDescent="0.25">
      <c r="B5" s="60"/>
      <c r="C5" s="109"/>
      <c r="D5" s="54"/>
      <c r="E5" s="21"/>
      <c r="F5" s="21"/>
      <c r="G5" s="226"/>
      <c r="H5" s="21"/>
      <c r="I5" s="21"/>
      <c r="J5"/>
      <c r="K5"/>
      <c r="L5"/>
      <c r="M5"/>
      <c r="N5"/>
      <c r="O5"/>
      <c r="P5"/>
      <c r="Q5"/>
      <c r="R5"/>
      <c r="S5" s="21"/>
      <c r="T5" s="21"/>
      <c r="U5" s="21"/>
      <c r="V5" s="21"/>
      <c r="W5" s="21"/>
      <c r="X5" s="21"/>
      <c r="Y5" s="21"/>
      <c r="Z5" s="21"/>
    </row>
    <row r="6" spans="1:26" s="24" customFormat="1" x14ac:dyDescent="0.25">
      <c r="B6" s="60"/>
      <c r="C6" s="109"/>
      <c r="D6" s="54"/>
      <c r="E6" s="21" t="str">
        <f>Time!E$11</f>
        <v>Model column counter</v>
      </c>
      <c r="F6" s="5" t="s">
        <v>72</v>
      </c>
      <c r="G6" s="5" t="s">
        <v>73</v>
      </c>
      <c r="H6" s="5" t="s">
        <v>93</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5" t="s">
        <v>374</v>
      </c>
      <c r="B8" s="286"/>
      <c r="C8" s="287"/>
      <c r="D8" s="287"/>
      <c r="E8" s="287"/>
      <c r="F8" s="287"/>
      <c r="G8" s="287"/>
      <c r="H8" s="287"/>
      <c r="I8" s="287"/>
      <c r="J8" s="287"/>
      <c r="K8" s="287"/>
      <c r="L8" s="287"/>
      <c r="M8" s="287"/>
      <c r="N8" s="287"/>
      <c r="O8" s="287"/>
      <c r="P8" s="287"/>
      <c r="Q8" s="287"/>
      <c r="R8" s="287"/>
    </row>
    <row r="10" spans="1:26" x14ac:dyDescent="0.25">
      <c r="C10" s="110" t="s">
        <v>259</v>
      </c>
    </row>
    <row r="12" spans="1:26" x14ac:dyDescent="0.25">
      <c r="B12" s="61" t="s">
        <v>132</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133</v>
      </c>
      <c r="G15" s="92" t="s">
        <v>94</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134</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135</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1874.7307090641443</v>
      </c>
      <c r="N22" s="241">
        <f t="shared" si="3"/>
        <v>1849.5824317678243</v>
      </c>
      <c r="O22" s="241">
        <f t="shared" si="3"/>
        <v>1834.2663980325096</v>
      </c>
      <c r="P22" s="241">
        <f t="shared" si="3"/>
        <v>1822.462446540037</v>
      </c>
      <c r="Q22" s="241">
        <f t="shared" si="3"/>
        <v>1811.6057065655625</v>
      </c>
      <c r="R22" s="241">
        <f t="shared" si="3"/>
        <v>1800.8136421640163</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136</v>
      </c>
      <c r="G24" s="91" t="s">
        <v>88</v>
      </c>
      <c r="J24" s="184">
        <f>J22*J23</f>
        <v>0</v>
      </c>
      <c r="K24" s="184">
        <f t="shared" ref="K24:R24" si="5">K22*K23</f>
        <v>0</v>
      </c>
      <c r="L24" s="184">
        <f t="shared" si="5"/>
        <v>0</v>
      </c>
      <c r="M24" s="184">
        <f>M22*M23</f>
        <v>45.477389103951886</v>
      </c>
      <c r="N24" s="184">
        <f t="shared" si="5"/>
        <v>54.724795206195367</v>
      </c>
      <c r="O24" s="184">
        <f t="shared" si="5"/>
        <v>57.786147637814032</v>
      </c>
      <c r="P24" s="184">
        <f t="shared" si="5"/>
        <v>58.318798289282448</v>
      </c>
      <c r="Q24" s="184">
        <f t="shared" si="5"/>
        <v>57.971382610097649</v>
      </c>
      <c r="R24" s="184">
        <f t="shared" si="5"/>
        <v>54.024409264920138</v>
      </c>
      <c r="S24" s="92"/>
      <c r="T24" s="92"/>
      <c r="U24" s="92"/>
      <c r="V24" s="92"/>
      <c r="W24" s="92"/>
      <c r="X24" s="92"/>
      <c r="Y24" s="92"/>
      <c r="Z24" s="92"/>
    </row>
    <row r="26" spans="1:16383" s="205" customFormat="1" x14ac:dyDescent="0.25">
      <c r="A26" s="201"/>
      <c r="B26" s="202"/>
      <c r="C26" s="203"/>
      <c r="D26" s="204"/>
      <c r="E26" s="37" t="str">
        <f xml:space="preserve"> InpR!E$96</f>
        <v>Run-off rate - CPI(H) + RPI wedge - active - WWN</v>
      </c>
      <c r="F26" s="205">
        <f xml:space="preserve"> InpR!F$96</f>
        <v>0</v>
      </c>
      <c r="G26" s="223" t="str">
        <f xml:space="preserve"> InpR!G$96</f>
        <v>%</v>
      </c>
      <c r="H26" s="205" t="str">
        <f xml:space="preserve"> InpR!I$96</f>
        <v>PR19 Financial model, 'F_OutputsMaster' sheet row 959, PR19FM2096POST</v>
      </c>
      <c r="I26" s="205" t="e">
        <f xml:space="preserve"> InpR!#REF!</f>
        <v>#REF!</v>
      </c>
      <c r="J26" s="205">
        <f xml:space="preserve"> InpR!J$96</f>
        <v>0</v>
      </c>
      <c r="K26" s="205">
        <f xml:space="preserve"> InpR!K$96</f>
        <v>0</v>
      </c>
      <c r="L26" s="205">
        <f xml:space="preserve"> InpR!L$96</f>
        <v>0</v>
      </c>
      <c r="M26" s="205">
        <f xml:space="preserve"> InpR!M$96</f>
        <v>3.6780214846322976E-2</v>
      </c>
      <c r="N26" s="205">
        <f xml:space="preserve"> InpR!N$96</f>
        <v>3.6780214846322976E-2</v>
      </c>
      <c r="O26" s="205">
        <f xml:space="preserve"> InpR!O$96</f>
        <v>3.6780214846322976E-2</v>
      </c>
      <c r="P26" s="205">
        <f xml:space="preserve"> InpR!P$96</f>
        <v>3.6780214846322976E-2</v>
      </c>
      <c r="Q26" s="205">
        <f xml:space="preserve"> InpR!Q$96</f>
        <v>3.6780214846322976E-2</v>
      </c>
      <c r="R26" s="205">
        <f xml:space="preserve"> InpR!R$96</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1874.7307090641443</v>
      </c>
      <c r="N27" s="241">
        <f t="shared" si="6"/>
        <v>1849.5824317678243</v>
      </c>
      <c r="O27" s="241">
        <f t="shared" si="6"/>
        <v>1834.2663980325096</v>
      </c>
      <c r="P27" s="241">
        <f t="shared" si="6"/>
        <v>1822.462446540037</v>
      </c>
      <c r="Q27" s="241">
        <f t="shared" si="6"/>
        <v>1811.6057065655625</v>
      </c>
      <c r="R27" s="241">
        <f t="shared" si="6"/>
        <v>1800.8136421640163</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45.477389103951886</v>
      </c>
      <c r="N28" s="184">
        <f t="shared" si="7"/>
        <v>54.724795206195367</v>
      </c>
      <c r="O28" s="184">
        <f t="shared" si="7"/>
        <v>57.786147637814032</v>
      </c>
      <c r="P28" s="184">
        <f t="shared" si="7"/>
        <v>58.318798289282448</v>
      </c>
      <c r="Q28" s="184">
        <f t="shared" si="7"/>
        <v>57.971382610097649</v>
      </c>
      <c r="R28" s="184">
        <f t="shared" si="7"/>
        <v>54.024409264920138</v>
      </c>
    </row>
    <row r="29" spans="1:16383" x14ac:dyDescent="0.25">
      <c r="A29" s="170"/>
      <c r="B29" s="165"/>
      <c r="C29" s="166"/>
      <c r="D29" s="171"/>
      <c r="E29" s="91" t="s">
        <v>137</v>
      </c>
      <c r="F29" s="91"/>
      <c r="G29" s="91" t="s">
        <v>88</v>
      </c>
      <c r="H29" s="184"/>
      <c r="I29" s="184"/>
      <c r="J29" s="184">
        <f t="shared" ref="J29:R29" si="8" xml:space="preserve"> (J27+J28) * J26</f>
        <v>0</v>
      </c>
      <c r="K29" s="184">
        <f t="shared" si="8"/>
        <v>0</v>
      </c>
      <c r="L29" s="184">
        <f xml:space="preserve"> (L27+L28) * L26</f>
        <v>0</v>
      </c>
      <c r="M29" s="184">
        <f t="shared" si="8"/>
        <v>70.625666400271825</v>
      </c>
      <c r="N29" s="184">
        <f t="shared" si="8"/>
        <v>70.040828941509972</v>
      </c>
      <c r="O29" s="184">
        <f t="shared" si="8"/>
        <v>69.590099130286816</v>
      </c>
      <c r="P29" s="184">
        <f t="shared" si="8"/>
        <v>69.175538263757147</v>
      </c>
      <c r="Q29" s="184">
        <f t="shared" si="8"/>
        <v>68.763447011643905</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InpR!$E$89</f>
        <v>RCV - CPI(H) + RPI wedge initial balance - nominal - WWN</v>
      </c>
      <c r="F31" s="250">
        <f>InpR!$F$89</f>
        <v>1874.7307090641443</v>
      </c>
      <c r="G31" s="250" t="str">
        <f>InpR!$G$89</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138</v>
      </c>
      <c r="G34" s="92" t="s">
        <v>88</v>
      </c>
      <c r="J34" s="242">
        <f t="shared" ref="J34:R34" si="9" xml:space="preserve"> I37</f>
        <v>0</v>
      </c>
      <c r="K34" s="242">
        <f t="shared" si="9"/>
        <v>0</v>
      </c>
      <c r="L34" s="242">
        <f t="shared" si="9"/>
        <v>0</v>
      </c>
      <c r="M34" s="242">
        <f t="shared" si="9"/>
        <v>1874.7307090641443</v>
      </c>
      <c r="N34" s="242">
        <f t="shared" si="9"/>
        <v>1849.5824317678243</v>
      </c>
      <c r="O34" s="242">
        <f t="shared" si="9"/>
        <v>1834.2663980325096</v>
      </c>
      <c r="P34" s="242">
        <f t="shared" si="9"/>
        <v>1822.462446540037</v>
      </c>
      <c r="Q34" s="242">
        <f t="shared" si="9"/>
        <v>1811.6057065655625</v>
      </c>
      <c r="R34" s="242">
        <f t="shared" si="9"/>
        <v>1800.8136421640163</v>
      </c>
    </row>
    <row r="35" spans="1:26" x14ac:dyDescent="0.25">
      <c r="A35" s="47"/>
      <c r="B35" s="51"/>
      <c r="C35" s="111"/>
      <c r="D35" s="56" t="s">
        <v>139</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45.477389103951886</v>
      </c>
      <c r="N35" s="242">
        <f t="shared" si="10"/>
        <v>54.724795206195367</v>
      </c>
      <c r="O35" s="242">
        <f t="shared" si="10"/>
        <v>57.786147637814032</v>
      </c>
      <c r="P35" s="242">
        <f t="shared" si="10"/>
        <v>58.318798289282448</v>
      </c>
      <c r="Q35" s="242">
        <f t="shared" si="10"/>
        <v>57.971382610097649</v>
      </c>
      <c r="R35" s="242">
        <f t="shared" si="10"/>
        <v>54.024409264920138</v>
      </c>
    </row>
    <row r="36" spans="1:26" x14ac:dyDescent="0.25">
      <c r="A36" s="47"/>
      <c r="B36" s="51"/>
      <c r="C36" s="111"/>
      <c r="D36" s="56" t="s">
        <v>140</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70.625666400271825</v>
      </c>
      <c r="N36" s="242">
        <f t="shared" si="11"/>
        <v>70.040828941509972</v>
      </c>
      <c r="O36" s="242">
        <f t="shared" si="11"/>
        <v>69.590099130286816</v>
      </c>
      <c r="P36" s="242">
        <f t="shared" si="11"/>
        <v>69.175538263757147</v>
      </c>
      <c r="Q36" s="242">
        <f t="shared" si="11"/>
        <v>68.763447011643905</v>
      </c>
      <c r="R36" s="242">
        <f t="shared" si="11"/>
        <v>0</v>
      </c>
    </row>
    <row r="37" spans="1:26" s="138" customFormat="1" x14ac:dyDescent="0.25">
      <c r="A37" s="134"/>
      <c r="B37" s="135"/>
      <c r="C37" s="136"/>
      <c r="D37" s="137"/>
      <c r="E37" s="138" t="s">
        <v>141</v>
      </c>
      <c r="G37" s="163" t="s">
        <v>88</v>
      </c>
      <c r="J37" s="243">
        <f t="shared" ref="J37:R37" si="12" xml:space="preserve"> IF( J32 = 1, $F31, J34 + J35 - J36)</f>
        <v>0</v>
      </c>
      <c r="K37" s="243">
        <f t="shared" si="12"/>
        <v>0</v>
      </c>
      <c r="L37" s="243">
        <f t="shared" si="12"/>
        <v>1874.7307090641443</v>
      </c>
      <c r="M37" s="243">
        <f t="shared" si="12"/>
        <v>1849.5824317678243</v>
      </c>
      <c r="N37" s="243">
        <f t="shared" si="12"/>
        <v>1834.2663980325096</v>
      </c>
      <c r="O37" s="243">
        <f t="shared" si="12"/>
        <v>1822.462446540037</v>
      </c>
      <c r="P37" s="243">
        <f t="shared" si="12"/>
        <v>1811.6057065655625</v>
      </c>
      <c r="Q37" s="243">
        <f t="shared" si="12"/>
        <v>1800.8136421640163</v>
      </c>
      <c r="R37" s="243">
        <f t="shared" si="12"/>
        <v>1854.8380514289365</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1874.7307090641443</v>
      </c>
      <c r="N39" s="185">
        <f t="shared" si="13"/>
        <v>1849.5824317678243</v>
      </c>
      <c r="O39" s="185">
        <f t="shared" si="13"/>
        <v>1834.2663980325096</v>
      </c>
      <c r="P39" s="185">
        <f t="shared" si="13"/>
        <v>1822.462446540037</v>
      </c>
      <c r="Q39" s="185">
        <f t="shared" si="13"/>
        <v>1811.6057065655625</v>
      </c>
      <c r="R39" s="185">
        <f t="shared" si="13"/>
        <v>1800.8136421640163</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45.477389103951886</v>
      </c>
      <c r="N40" s="242">
        <f t="shared" si="14"/>
        <v>54.724795206195367</v>
      </c>
      <c r="O40" s="242">
        <f t="shared" si="14"/>
        <v>57.786147637814032</v>
      </c>
      <c r="P40" s="242">
        <f t="shared" si="14"/>
        <v>58.318798289282448</v>
      </c>
      <c r="Q40" s="242">
        <f t="shared" si="14"/>
        <v>57.971382610097649</v>
      </c>
      <c r="R40" s="242">
        <f t="shared" si="14"/>
        <v>54.024409264920138</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1874.7307090641443</v>
      </c>
      <c r="M41" s="185">
        <f t="shared" si="15"/>
        <v>1849.5824317678243</v>
      </c>
      <c r="N41" s="185">
        <f t="shared" si="15"/>
        <v>1834.2663980325096</v>
      </c>
      <c r="O41" s="185">
        <f t="shared" si="15"/>
        <v>1822.462446540037</v>
      </c>
      <c r="P41" s="185">
        <f t="shared" si="15"/>
        <v>1811.6057065655625</v>
      </c>
      <c r="Q41" s="185">
        <f t="shared" si="15"/>
        <v>1800.8136421640163</v>
      </c>
      <c r="R41" s="185">
        <f t="shared" si="15"/>
        <v>1854.8380514289365</v>
      </c>
    </row>
    <row r="42" spans="1:26" s="92" customFormat="1" x14ac:dyDescent="0.25">
      <c r="A42" s="164"/>
      <c r="B42" s="165"/>
      <c r="C42" s="166"/>
      <c r="D42" s="167"/>
      <c r="E42" s="92" t="s">
        <v>142</v>
      </c>
      <c r="G42" s="92" t="s">
        <v>88</v>
      </c>
      <c r="J42" s="185">
        <f t="shared" ref="J42:L42" si="16" xml:space="preserve"> ( (J39+J40) + J41) / 2</f>
        <v>0</v>
      </c>
      <c r="K42" s="185">
        <f t="shared" si="16"/>
        <v>0</v>
      </c>
      <c r="L42" s="185">
        <f t="shared" si="16"/>
        <v>937.36535453207216</v>
      </c>
      <c r="M42" s="185">
        <f xml:space="preserve"> ( (M39+M40) + M41) / 2</f>
        <v>1884.8952649679604</v>
      </c>
      <c r="N42" s="185">
        <f t="shared" ref="N42:R42" si="17" xml:space="preserve"> ( (N39+N40) + N41) / 2</f>
        <v>1869.2868125032646</v>
      </c>
      <c r="O42" s="185">
        <f t="shared" si="17"/>
        <v>1857.2574961051805</v>
      </c>
      <c r="P42" s="185">
        <f t="shared" si="17"/>
        <v>1846.193475697441</v>
      </c>
      <c r="Q42" s="185">
        <f t="shared" si="17"/>
        <v>1835.1953656698383</v>
      </c>
      <c r="R42" s="185">
        <f t="shared" si="17"/>
        <v>1854.8380514289365</v>
      </c>
    </row>
    <row r="43" spans="1:26" s="92" customFormat="1" x14ac:dyDescent="0.25">
      <c r="A43" s="164"/>
      <c r="B43" s="165"/>
      <c r="C43" s="166"/>
      <c r="D43" s="167"/>
    </row>
    <row r="44" spans="1:26" x14ac:dyDescent="0.25">
      <c r="B44" s="61" t="s">
        <v>143</v>
      </c>
    </row>
    <row r="45" spans="1:26" s="205" customFormat="1" x14ac:dyDescent="0.25">
      <c r="A45" s="201"/>
      <c r="B45" s="202"/>
      <c r="C45" s="203"/>
      <c r="D45" s="204"/>
      <c r="E45" s="205" t="str">
        <f xml:space="preserve"> InpR!E$103</f>
        <v>WACC on RCV - CPI(H) + RPI wedge bf and additions - WWN</v>
      </c>
      <c r="F45" s="205">
        <f xml:space="preserve"> InpR!F$103</f>
        <v>0</v>
      </c>
      <c r="G45" s="223" t="str">
        <f xml:space="preserve"> InpR!G$103</f>
        <v>%</v>
      </c>
      <c r="H45" s="205" t="str">
        <f xml:space="preserve"> InpR!I$103</f>
        <v>PR19 Financial model, 'Wastewater Network' sheet row 980</v>
      </c>
      <c r="I45" s="205" t="e">
        <f xml:space="preserve"> InpR!#REF!</f>
        <v>#REF!</v>
      </c>
      <c r="J45" s="205">
        <f xml:space="preserve"> InpR!J$103</f>
        <v>0</v>
      </c>
      <c r="K45" s="205">
        <f xml:space="preserve"> InpR!K$103</f>
        <v>0</v>
      </c>
      <c r="L45" s="205">
        <f xml:space="preserve"> InpR!L$103</f>
        <v>0</v>
      </c>
      <c r="M45" s="205">
        <f xml:space="preserve"> InpR!M$103</f>
        <v>1.920357193840716E-2</v>
      </c>
      <c r="N45" s="205">
        <f xml:space="preserve"> InpR!N$103</f>
        <v>1.920357193840716E-2</v>
      </c>
      <c r="O45" s="205">
        <f xml:space="preserve"> InpR!O$103</f>
        <v>1.920357193840716E-2</v>
      </c>
      <c r="P45" s="205">
        <f xml:space="preserve"> InpR!P$103</f>
        <v>1.920357193840716E-2</v>
      </c>
      <c r="Q45" s="205">
        <f xml:space="preserve"> InpR!Q$103</f>
        <v>1.920357193840716E-2</v>
      </c>
      <c r="R45" s="205">
        <f xml:space="preserve"> InpR!R$103</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937.36535453207216</v>
      </c>
      <c r="M47" s="184">
        <f t="shared" si="18"/>
        <v>1884.8952649679604</v>
      </c>
      <c r="N47" s="184">
        <f t="shared" si="18"/>
        <v>1869.2868125032646</v>
      </c>
      <c r="O47" s="184">
        <f t="shared" si="18"/>
        <v>1857.2574961051805</v>
      </c>
      <c r="P47" s="184">
        <f t="shared" si="18"/>
        <v>1846.193475697441</v>
      </c>
      <c r="Q47" s="184">
        <f t="shared" si="18"/>
        <v>1835.1953656698383</v>
      </c>
      <c r="R47" s="184">
        <f t="shared" si="18"/>
        <v>1854.8380514289365</v>
      </c>
      <c r="S47" s="92"/>
      <c r="T47" s="92"/>
      <c r="U47" s="92"/>
      <c r="V47" s="92"/>
      <c r="W47" s="92"/>
      <c r="X47" s="92"/>
      <c r="Y47" s="92"/>
      <c r="Z47" s="92"/>
    </row>
    <row r="48" spans="1:26" s="91" customFormat="1" x14ac:dyDescent="0.25">
      <c r="A48" s="170"/>
      <c r="B48" s="165"/>
      <c r="C48" s="166"/>
      <c r="D48" s="171"/>
      <c r="E48" s="172" t="s">
        <v>144</v>
      </c>
      <c r="G48" s="91" t="s">
        <v>88</v>
      </c>
      <c r="H48" s="184"/>
      <c r="I48" s="184"/>
      <c r="J48" s="184">
        <f t="shared" ref="J48:K48" si="19">J45*J47*J46</f>
        <v>0</v>
      </c>
      <c r="K48" s="184">
        <f t="shared" si="19"/>
        <v>0</v>
      </c>
      <c r="L48" s="184">
        <f>L45*L47*L46</f>
        <v>0</v>
      </c>
      <c r="M48" s="184">
        <f>M45*M47*M46</f>
        <v>36.196721817175252</v>
      </c>
      <c r="N48" s="184">
        <f t="shared" ref="N48:R48" si="20">N45*N47*N46</f>
        <v>35.896983777422257</v>
      </c>
      <c r="O48" s="184">
        <f t="shared" si="20"/>
        <v>35.665977934601791</v>
      </c>
      <c r="P48" s="184">
        <f t="shared" si="20"/>
        <v>35.453509222773761</v>
      </c>
      <c r="Q48" s="184">
        <f t="shared" si="20"/>
        <v>35.242306225672174</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145</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70.625666400271825</v>
      </c>
      <c r="N51" s="184">
        <f t="shared" si="21"/>
        <v>70.040828941509972</v>
      </c>
      <c r="O51" s="184">
        <f t="shared" si="21"/>
        <v>69.590099130286816</v>
      </c>
      <c r="P51" s="184">
        <f t="shared" si="21"/>
        <v>69.175538263757147</v>
      </c>
      <c r="Q51" s="184">
        <f t="shared" si="21"/>
        <v>68.763447011643905</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36.196721817175252</v>
      </c>
      <c r="N52" s="184">
        <f t="shared" si="22"/>
        <v>35.896983777422257</v>
      </c>
      <c r="O52" s="184">
        <f t="shared" si="22"/>
        <v>35.665977934601791</v>
      </c>
      <c r="P52" s="184">
        <f t="shared" si="22"/>
        <v>35.453509222773761</v>
      </c>
      <c r="Q52" s="184">
        <f t="shared" si="22"/>
        <v>35.242306225672174</v>
      </c>
      <c r="R52" s="184">
        <f t="shared" si="22"/>
        <v>0</v>
      </c>
      <c r="S52" s="92"/>
      <c r="T52" s="92"/>
      <c r="U52" s="92"/>
      <c r="V52" s="92"/>
      <c r="W52" s="92"/>
      <c r="X52" s="92"/>
      <c r="Y52" s="92"/>
      <c r="Z52" s="92"/>
    </row>
    <row r="53" spans="1:26" s="91" customFormat="1" x14ac:dyDescent="0.25">
      <c r="A53" s="170"/>
      <c r="B53" s="165"/>
      <c r="C53" s="166"/>
      <c r="D53" s="171"/>
      <c r="E53" s="172" t="s">
        <v>146</v>
      </c>
      <c r="G53" s="91" t="str">
        <f xml:space="preserve"> G$48</f>
        <v>£m</v>
      </c>
      <c r="H53" s="184">
        <f>SUM(J53:R53)</f>
        <v>526.65107872511487</v>
      </c>
      <c r="I53" s="184"/>
      <c r="J53" s="184">
        <f t="shared" ref="J53:R53" si="23">SUM(J51:J52)</f>
        <v>0</v>
      </c>
      <c r="K53" s="184">
        <f t="shared" si="23"/>
        <v>0</v>
      </c>
      <c r="L53" s="184">
        <f>SUM(L51:L52)</f>
        <v>0</v>
      </c>
      <c r="M53" s="185">
        <f t="shared" si="23"/>
        <v>106.82238821744707</v>
      </c>
      <c r="N53" s="185">
        <f t="shared" si="23"/>
        <v>105.93781271893224</v>
      </c>
      <c r="O53" s="184">
        <f t="shared" si="23"/>
        <v>105.25607706488861</v>
      </c>
      <c r="P53" s="184">
        <f t="shared" si="23"/>
        <v>104.62904748653091</v>
      </c>
      <c r="Q53" s="184">
        <f t="shared" si="23"/>
        <v>104.00575323731607</v>
      </c>
      <c r="R53" s="184">
        <f t="shared" si="23"/>
        <v>0</v>
      </c>
      <c r="S53" s="92"/>
      <c r="T53" s="92"/>
      <c r="U53" s="92"/>
      <c r="V53" s="92"/>
      <c r="W53" s="92"/>
      <c r="X53" s="92"/>
      <c r="Y53" s="92"/>
      <c r="Z53" s="92"/>
    </row>
    <row r="55" spans="1:26" x14ac:dyDescent="0.25">
      <c r="A55" s="285" t="s">
        <v>147</v>
      </c>
      <c r="B55" s="286"/>
      <c r="C55" s="287"/>
      <c r="D55" s="287"/>
      <c r="E55" s="287"/>
      <c r="F55" s="287"/>
      <c r="G55" s="287"/>
      <c r="H55" s="287"/>
      <c r="I55" s="287"/>
      <c r="J55" s="287"/>
      <c r="K55" s="287"/>
      <c r="L55" s="287"/>
      <c r="M55" s="287"/>
      <c r="N55" s="287"/>
      <c r="O55" s="287"/>
      <c r="P55" s="287"/>
      <c r="Q55" s="287"/>
      <c r="R55" s="287"/>
    </row>
    <row r="56" spans="1:26" x14ac:dyDescent="0.25">
      <c r="M56" s="177"/>
      <c r="N56" s="177"/>
      <c r="O56" s="177"/>
      <c r="P56" s="177"/>
      <c r="Q56" s="177"/>
    </row>
    <row r="57" spans="1:26" x14ac:dyDescent="0.25">
      <c r="C57" s="110" t="s">
        <v>260</v>
      </c>
      <c r="M57" s="177"/>
      <c r="N57" s="177"/>
      <c r="O57" s="177"/>
      <c r="P57" s="177"/>
      <c r="Q57" s="177"/>
    </row>
    <row r="58" spans="1:26" x14ac:dyDescent="0.25">
      <c r="C58" s="110" t="s">
        <v>261</v>
      </c>
      <c r="M58" s="177"/>
      <c r="N58" s="177"/>
      <c r="O58" s="177"/>
      <c r="P58" s="177"/>
      <c r="Q58" s="177"/>
    </row>
    <row r="59" spans="1:26" x14ac:dyDescent="0.25">
      <c r="C59" s="110" t="s">
        <v>262</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148</v>
      </c>
      <c r="G61" s="91" t="s">
        <v>88</v>
      </c>
      <c r="J61" s="184">
        <f t="shared" ref="J61:R61" si="24" xml:space="preserve"> J53</f>
        <v>0</v>
      </c>
      <c r="K61" s="184">
        <f t="shared" si="24"/>
        <v>0</v>
      </c>
      <c r="L61" s="184">
        <f t="shared" si="24"/>
        <v>0</v>
      </c>
      <c r="M61" s="184">
        <f t="shared" si="24"/>
        <v>106.82238821744707</v>
      </c>
      <c r="N61" s="184">
        <f t="shared" si="24"/>
        <v>105.93781271893224</v>
      </c>
      <c r="O61" s="184">
        <f t="shared" si="24"/>
        <v>105.25607706488861</v>
      </c>
      <c r="P61" s="184">
        <f t="shared" si="24"/>
        <v>104.62904748653091</v>
      </c>
      <c r="Q61" s="184">
        <f t="shared" si="24"/>
        <v>104.00575323731607</v>
      </c>
      <c r="R61" s="184">
        <f t="shared" si="24"/>
        <v>0</v>
      </c>
      <c r="S61" s="92"/>
      <c r="T61" s="92"/>
      <c r="U61" s="92"/>
      <c r="V61" s="92"/>
      <c r="W61" s="92"/>
      <c r="X61" s="92"/>
      <c r="Y61" s="92"/>
      <c r="Z61" s="92"/>
    </row>
    <row r="62" spans="1:26" x14ac:dyDescent="0.25">
      <c r="L62" s="247"/>
      <c r="M62" s="282"/>
      <c r="N62" s="282"/>
      <c r="O62" s="282"/>
      <c r="P62" s="282"/>
      <c r="Q62" s="282"/>
      <c r="R62" s="247"/>
    </row>
    <row r="63" spans="1:26" x14ac:dyDescent="0.25">
      <c r="A63" s="285" t="s">
        <v>375</v>
      </c>
      <c r="B63" s="286"/>
      <c r="C63" s="287"/>
      <c r="D63" s="287"/>
      <c r="E63" s="287"/>
      <c r="F63" s="287"/>
      <c r="G63" s="287"/>
      <c r="H63" s="287"/>
      <c r="I63" s="287"/>
      <c r="J63" s="287"/>
      <c r="K63" s="287"/>
      <c r="L63" s="287"/>
      <c r="M63" s="287"/>
      <c r="N63" s="287"/>
      <c r="O63" s="287"/>
      <c r="P63" s="287"/>
      <c r="Q63" s="287"/>
      <c r="R63" s="287"/>
    </row>
    <row r="65" spans="1:16383" x14ac:dyDescent="0.25">
      <c r="C65" s="110" t="s">
        <v>263</v>
      </c>
    </row>
    <row r="67" spans="1:16383" x14ac:dyDescent="0.25">
      <c r="B67" s="61" t="s">
        <v>149</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2.6383826896292373E-2</v>
      </c>
      <c r="Q69" s="205">
        <f>Index!Q$135</f>
        <v>1.413341847387195E-2</v>
      </c>
      <c r="R69" s="205">
        <f>Index!R$135</f>
        <v>0</v>
      </c>
    </row>
    <row r="70" spans="1:16383" s="172" customFormat="1" x14ac:dyDescent="0.25">
      <c r="A70" s="173"/>
      <c r="B70" s="174"/>
      <c r="C70" s="175"/>
      <c r="D70" s="176"/>
      <c r="E70" s="172" t="s">
        <v>150</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4.7383826896292947E-2</v>
      </c>
      <c r="Q70" s="172">
        <f t="shared" si="26"/>
        <v>3.513341847387319E-2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151</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1874.7307090641443</v>
      </c>
      <c r="N73" s="241">
        <f t="shared" si="27"/>
        <v>1842.8130907711245</v>
      </c>
      <c r="O73" s="241">
        <f t="shared" si="27"/>
        <v>1847.9290588997983</v>
      </c>
      <c r="P73" s="241">
        <f t="shared" si="27"/>
        <v>1889.8733515264612</v>
      </c>
      <c r="Q73" s="241">
        <f t="shared" si="27"/>
        <v>1906.6191880306901</v>
      </c>
      <c r="R73" s="241">
        <f t="shared" si="27"/>
        <v>1901.0156131647225</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4.7383826896292947E-2</v>
      </c>
      <c r="Q74" s="172">
        <f t="shared" si="28"/>
        <v>3.513341847387319E-2</v>
      </c>
      <c r="R74" s="172">
        <f t="shared" si="28"/>
        <v>1.999999999999913E-2</v>
      </c>
      <c r="S74" s="177"/>
      <c r="T74" s="177"/>
      <c r="U74" s="177"/>
      <c r="V74" s="177"/>
      <c r="W74" s="177"/>
      <c r="X74" s="177"/>
      <c r="Y74" s="177"/>
      <c r="Z74" s="177"/>
    </row>
    <row r="75" spans="1:16383" x14ac:dyDescent="0.25">
      <c r="E75" s="7" t="s">
        <v>152</v>
      </c>
      <c r="G75" s="162" t="s">
        <v>88</v>
      </c>
      <c r="J75" s="184">
        <f t="shared" ref="J75:L75" si="29">J73*J74</f>
        <v>0</v>
      </c>
      <c r="K75" s="184">
        <f t="shared" si="29"/>
        <v>0</v>
      </c>
      <c r="L75" s="184">
        <f t="shared" si="29"/>
        <v>0</v>
      </c>
      <c r="M75" s="184">
        <f>M73*M74</f>
        <v>38.449563159097792</v>
      </c>
      <c r="N75" s="184">
        <f t="shared" ref="N75:R75" si="30">N73*N74</f>
        <v>75.678501056975378</v>
      </c>
      <c r="O75" s="184">
        <f t="shared" si="30"/>
        <v>114.1084538833731</v>
      </c>
      <c r="P75" s="184">
        <f t="shared" si="30"/>
        <v>89.549431744646824</v>
      </c>
      <c r="Q75" s="184">
        <f t="shared" si="30"/>
        <v>66.986049803398544</v>
      </c>
      <c r="R75" s="184">
        <f t="shared" si="30"/>
        <v>38.020312263292794</v>
      </c>
    </row>
    <row r="77" spans="1:16383" s="205" customFormat="1" x14ac:dyDescent="0.25">
      <c r="A77" s="201"/>
      <c r="B77" s="202"/>
      <c r="C77" s="203"/>
      <c r="D77" s="204"/>
      <c r="E77" s="37" t="str">
        <f xml:space="preserve"> InpR!E$96</f>
        <v>Run-off rate - CPI(H) + RPI wedge - active - WWN</v>
      </c>
      <c r="F77" s="205">
        <f xml:space="preserve"> InpR!F$96</f>
        <v>0</v>
      </c>
      <c r="G77" s="223" t="str">
        <f xml:space="preserve"> InpR!G$96</f>
        <v>%</v>
      </c>
      <c r="H77" s="205" t="str">
        <f xml:space="preserve"> InpR!I$96</f>
        <v>PR19 Financial model, 'F_OutputsMaster' sheet row 959, PR19FM2096POST</v>
      </c>
      <c r="I77" s="205" t="e">
        <f xml:space="preserve"> InpR!#REF!</f>
        <v>#REF!</v>
      </c>
      <c r="J77" s="205">
        <f xml:space="preserve"> InpR!J$96</f>
        <v>0</v>
      </c>
      <c r="K77" s="205">
        <f xml:space="preserve"> InpR!K$96</f>
        <v>0</v>
      </c>
      <c r="L77" s="205">
        <f xml:space="preserve"> InpR!L$96</f>
        <v>0</v>
      </c>
      <c r="M77" s="205">
        <f xml:space="preserve"> InpR!M$96</f>
        <v>3.6780214846322976E-2</v>
      </c>
      <c r="N77" s="205">
        <f xml:space="preserve"> InpR!N$96</f>
        <v>3.6780214846322976E-2</v>
      </c>
      <c r="O77" s="205">
        <f xml:space="preserve"> InpR!O$96</f>
        <v>3.6780214846322976E-2</v>
      </c>
      <c r="P77" s="205">
        <f xml:space="preserve"> InpR!P$96</f>
        <v>3.6780214846322976E-2</v>
      </c>
      <c r="Q77" s="205">
        <f xml:space="preserve"> InpR!Q$96</f>
        <v>3.6780214846322976E-2</v>
      </c>
      <c r="R77" s="205">
        <f xml:space="preserve"> InpR!R$96</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1874.7307090641443</v>
      </c>
      <c r="N78" s="241">
        <f t="shared" si="31"/>
        <v>1842.8130907711245</v>
      </c>
      <c r="O78" s="241">
        <f t="shared" si="31"/>
        <v>1847.9290588997983</v>
      </c>
      <c r="P78" s="241">
        <f t="shared" si="31"/>
        <v>1889.8733515264612</v>
      </c>
      <c r="Q78" s="241">
        <f t="shared" si="31"/>
        <v>1906.6191880306901</v>
      </c>
      <c r="R78" s="241">
        <f t="shared" si="31"/>
        <v>1901.0156131647225</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38.449563159097792</v>
      </c>
      <c r="N79" s="184">
        <f t="shared" si="32"/>
        <v>75.678501056975378</v>
      </c>
      <c r="O79" s="184">
        <f t="shared" si="32"/>
        <v>114.1084538833731</v>
      </c>
      <c r="P79" s="184">
        <f t="shared" si="32"/>
        <v>89.549431744646824</v>
      </c>
      <c r="Q79" s="184">
        <f t="shared" si="32"/>
        <v>66.986049803398544</v>
      </c>
      <c r="R79" s="184">
        <f t="shared" si="32"/>
        <v>38.020312263292794</v>
      </c>
    </row>
    <row r="80" spans="1:16383" x14ac:dyDescent="0.25">
      <c r="E80" s="7" t="s">
        <v>153</v>
      </c>
      <c r="F80" s="244"/>
      <c r="G80" s="244" t="s">
        <v>88</v>
      </c>
      <c r="H80" s="244"/>
      <c r="I80" s="244"/>
      <c r="J80" s="184">
        <f t="shared" ref="J80:R80" si="33" xml:space="preserve"> (J78+J79) * J77</f>
        <v>0</v>
      </c>
      <c r="K80" s="184">
        <f t="shared" si="33"/>
        <v>0</v>
      </c>
      <c r="L80" s="184">
        <f t="shared" si="33"/>
        <v>0</v>
      </c>
      <c r="M80" s="184">
        <f t="shared" si="33"/>
        <v>70.367181452117521</v>
      </c>
      <c r="N80" s="184">
        <f xml:space="preserve"> (N78+N79) * N77</f>
        <v>70.562532928301678</v>
      </c>
      <c r="O80" s="184">
        <f t="shared" si="33"/>
        <v>72.164161256710202</v>
      </c>
      <c r="P80" s="184">
        <f t="shared" si="33"/>
        <v>72.803595240417948</v>
      </c>
      <c r="Q80" s="184">
        <f t="shared" si="33"/>
        <v>72.589624669366131</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InpR!$E$89</f>
        <v>RCV - CPI(H) + RPI wedge initial balance - nominal - WWN</v>
      </c>
      <c r="F82" s="250">
        <f>InpR!$F$89</f>
        <v>1874.7307090641443</v>
      </c>
      <c r="G82" s="250" t="str">
        <f>InpR!$G$89</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154</v>
      </c>
      <c r="G85" s="162" t="s">
        <v>88</v>
      </c>
      <c r="J85" s="242">
        <f t="shared" ref="J85:R85" si="34" xml:space="preserve"> I88</f>
        <v>0</v>
      </c>
      <c r="K85" s="242">
        <f t="shared" si="34"/>
        <v>0</v>
      </c>
      <c r="L85" s="242">
        <f t="shared" si="34"/>
        <v>0</v>
      </c>
      <c r="M85" s="242">
        <f t="shared" si="34"/>
        <v>1874.7307090641443</v>
      </c>
      <c r="N85" s="242">
        <f t="shared" si="34"/>
        <v>1842.8130907711245</v>
      </c>
      <c r="O85" s="242">
        <f t="shared" si="34"/>
        <v>1847.9290588997983</v>
      </c>
      <c r="P85" s="242">
        <f t="shared" si="34"/>
        <v>1889.8733515264612</v>
      </c>
      <c r="Q85" s="242">
        <f t="shared" si="34"/>
        <v>1906.6191880306901</v>
      </c>
      <c r="R85" s="242">
        <f t="shared" si="34"/>
        <v>1901.0156131647225</v>
      </c>
    </row>
    <row r="86" spans="1:18" x14ac:dyDescent="0.25">
      <c r="A86" s="47"/>
      <c r="B86" s="51"/>
      <c r="C86" s="111"/>
      <c r="D86" s="56" t="s">
        <v>139</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38.449563159097792</v>
      </c>
      <c r="N86" s="242">
        <f t="shared" si="35"/>
        <v>75.678501056975378</v>
      </c>
      <c r="O86" s="242">
        <f t="shared" si="35"/>
        <v>114.1084538833731</v>
      </c>
      <c r="P86" s="242">
        <f t="shared" si="35"/>
        <v>89.549431744646824</v>
      </c>
      <c r="Q86" s="242">
        <f t="shared" si="35"/>
        <v>66.986049803398544</v>
      </c>
      <c r="R86" s="242">
        <f t="shared" si="35"/>
        <v>38.020312263292794</v>
      </c>
    </row>
    <row r="87" spans="1:18" x14ac:dyDescent="0.25">
      <c r="A87" s="47"/>
      <c r="B87" s="51"/>
      <c r="C87" s="111"/>
      <c r="D87" s="56" t="s">
        <v>140</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70.367181452117521</v>
      </c>
      <c r="N87" s="242">
        <f t="shared" si="36"/>
        <v>70.562532928301678</v>
      </c>
      <c r="O87" s="242">
        <f t="shared" si="36"/>
        <v>72.164161256710202</v>
      </c>
      <c r="P87" s="242">
        <f t="shared" si="36"/>
        <v>72.803595240417948</v>
      </c>
      <c r="Q87" s="242">
        <f t="shared" si="36"/>
        <v>72.589624669366131</v>
      </c>
      <c r="R87" s="242">
        <f t="shared" si="36"/>
        <v>0</v>
      </c>
    </row>
    <row r="88" spans="1:18" s="138" customFormat="1" x14ac:dyDescent="0.25">
      <c r="A88" s="134"/>
      <c r="B88" s="135"/>
      <c r="C88" s="136"/>
      <c r="D88" s="137"/>
      <c r="E88" s="138" t="s">
        <v>155</v>
      </c>
      <c r="G88" s="163" t="s">
        <v>88</v>
      </c>
      <c r="J88" s="243">
        <f t="shared" ref="J88:R88" si="37" xml:space="preserve"> IF( J83 = 1, $F82, J85 + J86 - J87)</f>
        <v>0</v>
      </c>
      <c r="K88" s="243">
        <f t="shared" si="37"/>
        <v>0</v>
      </c>
      <c r="L88" s="243">
        <f t="shared" si="37"/>
        <v>1874.7307090641443</v>
      </c>
      <c r="M88" s="243">
        <f t="shared" si="37"/>
        <v>1842.8130907711245</v>
      </c>
      <c r="N88" s="243">
        <f t="shared" si="37"/>
        <v>1847.9290588997983</v>
      </c>
      <c r="O88" s="243">
        <f t="shared" si="37"/>
        <v>1889.8733515264612</v>
      </c>
      <c r="P88" s="243">
        <f t="shared" si="37"/>
        <v>1906.6191880306901</v>
      </c>
      <c r="Q88" s="243">
        <f t="shared" si="37"/>
        <v>1901.0156131647225</v>
      </c>
      <c r="R88" s="243">
        <f t="shared" si="37"/>
        <v>1939.0359254280152</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1874.7307090641443</v>
      </c>
      <c r="N90" s="185">
        <f t="shared" si="38"/>
        <v>1842.8130907711245</v>
      </c>
      <c r="O90" s="185">
        <f t="shared" si="38"/>
        <v>1847.9290588997983</v>
      </c>
      <c r="P90" s="185">
        <f t="shared" si="38"/>
        <v>1889.8733515264612</v>
      </c>
      <c r="Q90" s="185">
        <f t="shared" si="38"/>
        <v>1906.6191880306901</v>
      </c>
      <c r="R90" s="185">
        <f t="shared" si="38"/>
        <v>1901.0156131647225</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38.449563159097792</v>
      </c>
      <c r="N91" s="242">
        <f t="shared" si="39"/>
        <v>75.678501056975378</v>
      </c>
      <c r="O91" s="242">
        <f t="shared" si="39"/>
        <v>114.1084538833731</v>
      </c>
      <c r="P91" s="242">
        <f t="shared" si="39"/>
        <v>89.549431744646824</v>
      </c>
      <c r="Q91" s="242">
        <f t="shared" si="39"/>
        <v>66.986049803398544</v>
      </c>
      <c r="R91" s="242">
        <f t="shared" si="39"/>
        <v>38.020312263292794</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1874.7307090641443</v>
      </c>
      <c r="M92" s="185">
        <f t="shared" si="40"/>
        <v>1842.8130907711245</v>
      </c>
      <c r="N92" s="185">
        <f t="shared" si="40"/>
        <v>1847.9290588997983</v>
      </c>
      <c r="O92" s="185">
        <f t="shared" si="40"/>
        <v>1889.8733515264612</v>
      </c>
      <c r="P92" s="185">
        <f t="shared" si="40"/>
        <v>1906.6191880306901</v>
      </c>
      <c r="Q92" s="185">
        <f t="shared" si="40"/>
        <v>1901.0156131647225</v>
      </c>
      <c r="R92" s="185">
        <f t="shared" si="40"/>
        <v>1939.0359254280152</v>
      </c>
    </row>
    <row r="93" spans="1:18" x14ac:dyDescent="0.25">
      <c r="A93" s="49"/>
      <c r="D93" s="57"/>
      <c r="E93" s="7" t="s">
        <v>173</v>
      </c>
      <c r="G93" s="92" t="s">
        <v>88</v>
      </c>
      <c r="H93" s="244"/>
      <c r="I93" s="244"/>
      <c r="J93" s="185">
        <f t="shared" ref="J93:K93" si="41" xml:space="preserve"> ( (J90+J91) + J92) / 2</f>
        <v>0</v>
      </c>
      <c r="K93" s="185">
        <f t="shared" si="41"/>
        <v>0</v>
      </c>
      <c r="L93" s="185">
        <f xml:space="preserve"> ( (L90+L91) + L92) / 2</f>
        <v>937.36535453207216</v>
      </c>
      <c r="M93" s="185">
        <f xml:space="preserve"> ( (M90+M91) + M92) / 2</f>
        <v>1877.9966814971833</v>
      </c>
      <c r="N93" s="185">
        <f t="shared" ref="N93:P93" si="42" xml:space="preserve"> ( (N90+N91) + N92) / 2</f>
        <v>1883.2103253639491</v>
      </c>
      <c r="O93" s="185">
        <f t="shared" si="42"/>
        <v>1925.9554321548162</v>
      </c>
      <c r="P93" s="185">
        <f t="shared" si="42"/>
        <v>1943.0209856508991</v>
      </c>
      <c r="Q93" s="185">
        <f xml:space="preserve"> ( (Q90+Q91) + Q92) / 2</f>
        <v>1937.3104254994055</v>
      </c>
      <c r="R93" s="185">
        <f t="shared" ref="R93" si="43" xml:space="preserve"> ( (R90+R91) + R92) / 2</f>
        <v>1939.0359254280152</v>
      </c>
    </row>
    <row r="94" spans="1:18" x14ac:dyDescent="0.25">
      <c r="A94" s="49"/>
      <c r="D94" s="57"/>
      <c r="J94" s="92"/>
      <c r="K94" s="92"/>
      <c r="L94" s="92"/>
      <c r="M94" s="92"/>
      <c r="N94" s="92"/>
      <c r="O94" s="92"/>
      <c r="P94" s="92"/>
      <c r="Q94" s="92"/>
      <c r="R94" s="92"/>
    </row>
    <row r="95" spans="1:18" x14ac:dyDescent="0.25">
      <c r="B95" s="61" t="s">
        <v>156</v>
      </c>
    </row>
    <row r="96" spans="1:18" s="205" customFormat="1" x14ac:dyDescent="0.25">
      <c r="A96" s="201"/>
      <c r="B96" s="202"/>
      <c r="C96" s="203"/>
      <c r="D96" s="204"/>
      <c r="E96" s="205" t="str">
        <f xml:space="preserve"> InpR!E$103</f>
        <v>WACC on RCV - CPI(H) + RPI wedge bf and additions - WWN</v>
      </c>
      <c r="F96" s="205">
        <f xml:space="preserve"> InpR!F$103</f>
        <v>0</v>
      </c>
      <c r="G96" s="223" t="str">
        <f xml:space="preserve"> InpR!G$103</f>
        <v>%</v>
      </c>
      <c r="H96" s="205" t="str">
        <f xml:space="preserve"> InpR!I$103</f>
        <v>PR19 Financial model, 'Wastewater Network' sheet row 980</v>
      </c>
      <c r="I96" s="205" t="e">
        <f xml:space="preserve"> InpR!#REF!</f>
        <v>#REF!</v>
      </c>
      <c r="J96" s="205">
        <f xml:space="preserve"> InpR!J$103</f>
        <v>0</v>
      </c>
      <c r="K96" s="205">
        <f xml:space="preserve"> InpR!K$103</f>
        <v>0</v>
      </c>
      <c r="L96" s="205">
        <f xml:space="preserve"> InpR!L$103</f>
        <v>0</v>
      </c>
      <c r="M96" s="205">
        <f xml:space="preserve"> InpR!M$103</f>
        <v>1.920357193840716E-2</v>
      </c>
      <c r="N96" s="205">
        <f xml:space="preserve"> InpR!N$103</f>
        <v>1.920357193840716E-2</v>
      </c>
      <c r="O96" s="205">
        <f xml:space="preserve"> InpR!O$103</f>
        <v>1.920357193840716E-2</v>
      </c>
      <c r="P96" s="205">
        <f xml:space="preserve"> InpR!P$103</f>
        <v>1.920357193840716E-2</v>
      </c>
      <c r="Q96" s="205">
        <f xml:space="preserve"> InpR!Q$103</f>
        <v>1.920357193840716E-2</v>
      </c>
      <c r="R96" s="205">
        <f xml:space="preserve"> InpR!R$103</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937.36535453207216</v>
      </c>
      <c r="M98" s="184">
        <f t="shared" si="44"/>
        <v>1877.9966814971833</v>
      </c>
      <c r="N98" s="184">
        <f t="shared" si="44"/>
        <v>1883.2103253639491</v>
      </c>
      <c r="O98" s="184">
        <f t="shared" si="44"/>
        <v>1925.9554321548162</v>
      </c>
      <c r="P98" s="184">
        <f t="shared" si="44"/>
        <v>1943.0209856508991</v>
      </c>
      <c r="Q98" s="184">
        <f t="shared" si="44"/>
        <v>1937.3104254994055</v>
      </c>
      <c r="R98" s="184">
        <f t="shared" si="44"/>
        <v>1939.0359254280152</v>
      </c>
    </row>
    <row r="99" spans="1:26" x14ac:dyDescent="0.25">
      <c r="E99" s="7" t="s">
        <v>157</v>
      </c>
      <c r="F99" s="244"/>
      <c r="G99" s="184" t="s">
        <v>88</v>
      </c>
      <c r="H99" s="244"/>
      <c r="I99" s="244"/>
      <c r="J99" s="244">
        <f t="shared" ref="J99:K99" si="45">J96*J97*J98</f>
        <v>0</v>
      </c>
      <c r="K99" s="244">
        <f t="shared" si="45"/>
        <v>0</v>
      </c>
      <c r="L99" s="244">
        <f>L96*L97*L98</f>
        <v>0</v>
      </c>
      <c r="M99" s="244">
        <f>M96*M97*M98</f>
        <v>36.064244373221079</v>
      </c>
      <c r="N99" s="244">
        <f t="shared" ref="N99:R99" si="46">N96*N97*N98</f>
        <v>36.164364958277751</v>
      </c>
      <c r="O99" s="244">
        <f t="shared" si="46"/>
        <v>36.985223691551063</v>
      </c>
      <c r="P99" s="244">
        <f t="shared" si="46"/>
        <v>37.312943275781826</v>
      </c>
      <c r="Q99" s="244">
        <f t="shared" si="46"/>
        <v>37.203280123104015</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1874.7307090641443</v>
      </c>
      <c r="M102" s="185">
        <f t="shared" si="47"/>
        <v>1842.8130907711245</v>
      </c>
      <c r="N102" s="185">
        <f t="shared" si="47"/>
        <v>1847.9290588997983</v>
      </c>
      <c r="O102" s="185">
        <f t="shared" si="47"/>
        <v>1889.8733515264612</v>
      </c>
      <c r="P102" s="185">
        <f t="shared" si="47"/>
        <v>1906.6191880306901</v>
      </c>
      <c r="Q102" s="185">
        <f t="shared" si="47"/>
        <v>1901.0156131647225</v>
      </c>
      <c r="R102" s="185">
        <f t="shared" si="47"/>
        <v>1939.0359254280152</v>
      </c>
    </row>
    <row r="103" spans="1:26" x14ac:dyDescent="0.25">
      <c r="C103" s="278"/>
      <c r="E103" s="7" t="s">
        <v>318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1901.0156131647225</v>
      </c>
      <c r="R103" s="184">
        <f t="shared" si="48"/>
        <v>0</v>
      </c>
    </row>
    <row r="104" spans="1:26" x14ac:dyDescent="0.25">
      <c r="J104" s="91"/>
      <c r="K104" s="91"/>
      <c r="L104" s="91"/>
      <c r="M104" s="91"/>
      <c r="N104" s="91"/>
      <c r="O104" s="91"/>
      <c r="P104" s="91"/>
      <c r="Q104" s="91"/>
      <c r="R104" s="91"/>
    </row>
    <row r="105" spans="1:26" x14ac:dyDescent="0.25">
      <c r="B105" s="61" t="s">
        <v>158</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70.367181452117521</v>
      </c>
      <c r="N106" s="184">
        <f t="shared" si="49"/>
        <v>70.562532928301678</v>
      </c>
      <c r="O106" s="184">
        <f t="shared" si="49"/>
        <v>72.164161256710202</v>
      </c>
      <c r="P106" s="184">
        <f t="shared" si="49"/>
        <v>72.803595240417948</v>
      </c>
      <c r="Q106" s="184">
        <f t="shared" si="49"/>
        <v>72.589624669366131</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36.064244373221079</v>
      </c>
      <c r="N107" s="184">
        <f t="shared" si="50"/>
        <v>36.164364958277751</v>
      </c>
      <c r="O107" s="184">
        <f t="shared" si="50"/>
        <v>36.985223691551063</v>
      </c>
      <c r="P107" s="184">
        <f t="shared" si="50"/>
        <v>37.312943275781826</v>
      </c>
      <c r="Q107" s="184">
        <f t="shared" si="50"/>
        <v>37.203280123104015</v>
      </c>
      <c r="R107" s="184">
        <f t="shared" si="50"/>
        <v>0</v>
      </c>
      <c r="S107" s="92"/>
      <c r="T107" s="92"/>
      <c r="U107" s="92"/>
      <c r="V107" s="92"/>
      <c r="W107" s="92"/>
      <c r="X107" s="92"/>
      <c r="Y107" s="92"/>
      <c r="Z107" s="92"/>
    </row>
    <row r="108" spans="1:26" x14ac:dyDescent="0.25">
      <c r="E108" s="7" t="s">
        <v>266</v>
      </c>
      <c r="F108" s="244"/>
      <c r="G108" s="184" t="str">
        <f t="shared" si="50"/>
        <v>£m</v>
      </c>
      <c r="H108" s="244">
        <f>SUM(J108:R108)</f>
        <v>542.21715196884918</v>
      </c>
      <c r="I108" s="244"/>
      <c r="J108" s="244">
        <f t="shared" ref="J108:R108" si="51">SUM(J106:J107)</f>
        <v>0</v>
      </c>
      <c r="K108" s="244">
        <f t="shared" si="51"/>
        <v>0</v>
      </c>
      <c r="L108" s="244">
        <f t="shared" si="51"/>
        <v>0</v>
      </c>
      <c r="M108" s="244">
        <f t="shared" si="51"/>
        <v>106.43142582533861</v>
      </c>
      <c r="N108" s="244">
        <f t="shared" si="51"/>
        <v>106.72689788657942</v>
      </c>
      <c r="O108" s="244">
        <f t="shared" si="51"/>
        <v>109.14938494826126</v>
      </c>
      <c r="P108" s="244">
        <f t="shared" si="51"/>
        <v>110.11653851619977</v>
      </c>
      <c r="Q108" s="244">
        <f t="shared" si="51"/>
        <v>109.79290479247015</v>
      </c>
      <c r="R108" s="244">
        <f t="shared" si="51"/>
        <v>0</v>
      </c>
    </row>
    <row r="110" spans="1:26" x14ac:dyDescent="0.25">
      <c r="A110" s="285" t="s">
        <v>376</v>
      </c>
      <c r="B110" s="286"/>
      <c r="C110" s="287"/>
      <c r="D110" s="287"/>
      <c r="E110" s="287"/>
      <c r="F110" s="287"/>
      <c r="G110" s="287"/>
      <c r="H110" s="287"/>
      <c r="I110" s="287"/>
      <c r="J110" s="287"/>
      <c r="K110" s="287"/>
      <c r="L110" s="287"/>
      <c r="M110" s="287"/>
      <c r="N110" s="287"/>
      <c r="O110" s="287"/>
      <c r="P110" s="287"/>
      <c r="Q110" s="287"/>
      <c r="R110" s="287"/>
    </row>
    <row r="112" spans="1:26" x14ac:dyDescent="0.25">
      <c r="C112" s="110" t="s">
        <v>265</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106.82238821744707</v>
      </c>
      <c r="N114" s="184">
        <f t="shared" si="52"/>
        <v>105.93781271893224</v>
      </c>
      <c r="O114" s="184">
        <f t="shared" si="52"/>
        <v>105.25607706488861</v>
      </c>
      <c r="P114" s="184">
        <f t="shared" si="52"/>
        <v>104.62904748653091</v>
      </c>
      <c r="Q114" s="184">
        <f t="shared" si="52"/>
        <v>104.00575323731607</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542.21715196884918</v>
      </c>
      <c r="I115" s="184">
        <f t="shared" si="53"/>
        <v>0</v>
      </c>
      <c r="J115" s="184">
        <f t="shared" si="53"/>
        <v>0</v>
      </c>
      <c r="K115" s="184">
        <f t="shared" si="53"/>
        <v>0</v>
      </c>
      <c r="L115" s="184">
        <f t="shared" si="53"/>
        <v>0</v>
      </c>
      <c r="M115" s="184">
        <f t="shared" si="53"/>
        <v>106.43142582533861</v>
      </c>
      <c r="N115" s="184">
        <f t="shared" si="53"/>
        <v>106.72689788657942</v>
      </c>
      <c r="O115" s="184">
        <f t="shared" si="53"/>
        <v>109.14938494826126</v>
      </c>
      <c r="P115" s="184">
        <f t="shared" si="53"/>
        <v>110.11653851619977</v>
      </c>
      <c r="Q115" s="184">
        <f t="shared" si="53"/>
        <v>109.79290479247015</v>
      </c>
      <c r="R115" s="184">
        <f t="shared" si="53"/>
        <v>0</v>
      </c>
    </row>
    <row r="116" spans="1:26" s="184" customFormat="1" x14ac:dyDescent="0.25">
      <c r="A116" s="180"/>
      <c r="B116" s="181"/>
      <c r="C116" s="182"/>
      <c r="D116" s="183"/>
      <c r="E116" s="7" t="s">
        <v>267</v>
      </c>
      <c r="G116" s="184" t="str">
        <f t="shared" ref="G116" si="54" xml:space="preserve"> G$99</f>
        <v>£m</v>
      </c>
      <c r="H116" s="244">
        <f>SUM(J116:R116)</f>
        <v>15.566073243734309</v>
      </c>
      <c r="M116" s="184">
        <f>M115-M114</f>
        <v>-0.39096239210846306</v>
      </c>
      <c r="N116" s="184">
        <f t="shared" ref="N116:Q116" si="55">N115-N114</f>
        <v>0.78908516764718684</v>
      </c>
      <c r="O116" s="184">
        <f t="shared" si="55"/>
        <v>3.8933078833726427</v>
      </c>
      <c r="P116" s="184">
        <f t="shared" si="55"/>
        <v>5.4874910296688597</v>
      </c>
      <c r="Q116" s="184">
        <f t="shared" si="55"/>
        <v>5.7871515551540824</v>
      </c>
      <c r="S116" s="185"/>
      <c r="T116" s="185"/>
      <c r="U116" s="185"/>
      <c r="V116" s="185"/>
      <c r="W116" s="185"/>
      <c r="X116" s="185"/>
      <c r="Y116" s="185"/>
      <c r="Z116" s="185"/>
    </row>
    <row r="118" spans="1:26" x14ac:dyDescent="0.25">
      <c r="A118" s="285" t="s">
        <v>377</v>
      </c>
      <c r="B118" s="286"/>
      <c r="C118" s="287"/>
      <c r="D118" s="287"/>
      <c r="E118" s="287"/>
      <c r="F118" s="287"/>
      <c r="G118" s="287"/>
      <c r="H118" s="287"/>
      <c r="I118" s="287"/>
      <c r="J118" s="287"/>
      <c r="K118" s="287"/>
      <c r="L118" s="287"/>
      <c r="M118" s="287"/>
      <c r="N118" s="287"/>
      <c r="O118" s="287"/>
      <c r="P118" s="287"/>
      <c r="Q118" s="287"/>
      <c r="R118" s="287"/>
    </row>
    <row r="120" spans="1:26" x14ac:dyDescent="0.25">
      <c r="C120" s="110" t="s">
        <v>264</v>
      </c>
    </row>
    <row r="121" spans="1:26" x14ac:dyDescent="0.25">
      <c r="C121" s="110" t="s">
        <v>159</v>
      </c>
    </row>
    <row r="122" spans="1:26" x14ac:dyDescent="0.25">
      <c r="C122" s="110" t="s">
        <v>160</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161</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t="shared" ref="E128:R128" si="58" xml:space="preserve"> E$140</f>
        <v>True up Nominal RCV balance BEG</v>
      </c>
      <c r="F128" s="245">
        <f t="shared" si="58"/>
        <v>0</v>
      </c>
      <c r="G128" s="245" t="str">
        <f t="shared" si="58"/>
        <v>£m</v>
      </c>
      <c r="H128" s="245">
        <f t="shared" si="58"/>
        <v>0</v>
      </c>
      <c r="I128" s="245">
        <f t="shared" si="58"/>
        <v>0</v>
      </c>
      <c r="J128" s="245">
        <f t="shared" si="58"/>
        <v>0</v>
      </c>
      <c r="K128" s="245">
        <f t="shared" si="58"/>
        <v>0</v>
      </c>
      <c r="L128" s="245">
        <f t="shared" si="58"/>
        <v>0</v>
      </c>
      <c r="M128" s="245">
        <f t="shared" si="58"/>
        <v>1874.7307090641443</v>
      </c>
      <c r="N128" s="245">
        <f t="shared" si="58"/>
        <v>1849.5824317678243</v>
      </c>
      <c r="O128" s="245">
        <f t="shared" si="58"/>
        <v>1834.2663980325096</v>
      </c>
      <c r="P128" s="245">
        <f t="shared" si="58"/>
        <v>1822.462446540037</v>
      </c>
      <c r="Q128" s="245">
        <f t="shared" si="58"/>
        <v>1811.6057065655625</v>
      </c>
      <c r="R128" s="245">
        <f t="shared" si="58"/>
        <v>1800.8136421640163</v>
      </c>
    </row>
    <row r="129" spans="1:16383" x14ac:dyDescent="0.25">
      <c r="E129" s="178" t="str">
        <f t="shared" ref="E129:R129" si="59" xml:space="preserve"> E$126</f>
        <v>True up Indexation percentage</v>
      </c>
      <c r="F129" s="178">
        <f t="shared" si="59"/>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8"/>
      <c r="E130" s="7" t="s">
        <v>162</v>
      </c>
      <c r="G130" s="91" t="s">
        <v>88</v>
      </c>
      <c r="J130" s="246">
        <f>J128*J129</f>
        <v>0</v>
      </c>
      <c r="K130" s="246">
        <f t="shared" ref="K130:L130" si="60">K128*K129</f>
        <v>0</v>
      </c>
      <c r="L130" s="246">
        <f t="shared" si="60"/>
        <v>0</v>
      </c>
      <c r="M130" s="246">
        <f>M128*M129</f>
        <v>45.477389103951886</v>
      </c>
      <c r="N130" s="246">
        <f t="shared" ref="N130:R130" si="61">N128*N129</f>
        <v>54.724795206195367</v>
      </c>
      <c r="O130" s="246">
        <f t="shared" si="61"/>
        <v>57.786147637814032</v>
      </c>
      <c r="P130" s="246">
        <f t="shared" si="61"/>
        <v>58.318798289282448</v>
      </c>
      <c r="Q130" s="246">
        <f t="shared" si="61"/>
        <v>57.971382610097649</v>
      </c>
      <c r="R130" s="246">
        <f t="shared" si="61"/>
        <v>54.024409264920138</v>
      </c>
    </row>
    <row r="132" spans="1:16383" s="205" customFormat="1" x14ac:dyDescent="0.25">
      <c r="A132" s="201"/>
      <c r="B132" s="202"/>
      <c r="C132" s="203"/>
      <c r="D132" s="204"/>
      <c r="E132" s="37" t="str">
        <f xml:space="preserve"> InpR!E$96</f>
        <v>Run-off rate - CPI(H) + RPI wedge - active - WWN</v>
      </c>
      <c r="F132" s="205">
        <f xml:space="preserve"> InpR!F$96</f>
        <v>0</v>
      </c>
      <c r="G132" s="223" t="str">
        <f xml:space="preserve"> InpR!G$96</f>
        <v>%</v>
      </c>
      <c r="H132" s="205" t="str">
        <f xml:space="preserve"> InpR!I$96</f>
        <v>PR19 Financial model, 'F_OutputsMaster' sheet row 959, PR19FM2096POST</v>
      </c>
      <c r="I132" s="205" t="e">
        <f xml:space="preserve"> InpR!#REF!</f>
        <v>#REF!</v>
      </c>
      <c r="J132" s="205">
        <f xml:space="preserve"> InpR!J$96</f>
        <v>0</v>
      </c>
      <c r="K132" s="205">
        <f xml:space="preserve"> InpR!K$96</f>
        <v>0</v>
      </c>
      <c r="L132" s="205">
        <f xml:space="preserve"> InpR!L$96</f>
        <v>0</v>
      </c>
      <c r="M132" s="205">
        <f xml:space="preserve"> InpR!M$96</f>
        <v>3.6780214846322976E-2</v>
      </c>
      <c r="N132" s="205">
        <f xml:space="preserve"> InpR!N$96</f>
        <v>3.6780214846322976E-2</v>
      </c>
      <c r="O132" s="205">
        <f xml:space="preserve"> InpR!O$96</f>
        <v>3.6780214846322976E-2</v>
      </c>
      <c r="P132" s="205">
        <f xml:space="preserve"> InpR!P$96</f>
        <v>3.6780214846322976E-2</v>
      </c>
      <c r="Q132" s="205">
        <f xml:space="preserve"> InpR!Q$96</f>
        <v>3.6780214846322976E-2</v>
      </c>
      <c r="R132" s="205">
        <f xml:space="preserve"> InpR!R$96</f>
        <v>0</v>
      </c>
    </row>
    <row r="133" spans="1:16383" s="161" customFormat="1" x14ac:dyDescent="0.25">
      <c r="A133" s="157"/>
      <c r="B133" s="158"/>
      <c r="C133" s="159"/>
      <c r="D133" s="160"/>
      <c r="E133" s="161" t="str">
        <f t="shared" ref="E133:R133" si="62" xml:space="preserve"> E$140</f>
        <v>True up Nominal RCV balance BEG</v>
      </c>
      <c r="F133" s="245">
        <f t="shared" si="62"/>
        <v>0</v>
      </c>
      <c r="G133" s="245" t="str">
        <f t="shared" si="62"/>
        <v>£m</v>
      </c>
      <c r="H133" s="245">
        <f t="shared" si="62"/>
        <v>0</v>
      </c>
      <c r="I133" s="245">
        <f t="shared" si="62"/>
        <v>0</v>
      </c>
      <c r="J133" s="245">
        <f t="shared" si="62"/>
        <v>0</v>
      </c>
      <c r="K133" s="245">
        <f t="shared" si="62"/>
        <v>0</v>
      </c>
      <c r="L133" s="245">
        <f t="shared" si="62"/>
        <v>0</v>
      </c>
      <c r="M133" s="245">
        <f t="shared" si="62"/>
        <v>1874.7307090641443</v>
      </c>
      <c r="N133" s="245">
        <f t="shared" si="62"/>
        <v>1849.5824317678243</v>
      </c>
      <c r="O133" s="245">
        <f t="shared" si="62"/>
        <v>1834.2663980325096</v>
      </c>
      <c r="P133" s="245">
        <f t="shared" si="62"/>
        <v>1822.462446540037</v>
      </c>
      <c r="Q133" s="245">
        <f t="shared" si="62"/>
        <v>1811.6057065655625</v>
      </c>
      <c r="R133" s="245">
        <f t="shared" si="62"/>
        <v>1800.8136421640163</v>
      </c>
    </row>
    <row r="134" spans="1:16383" s="91" customFormat="1" x14ac:dyDescent="0.25">
      <c r="A134" s="170"/>
      <c r="B134" s="165"/>
      <c r="C134" s="276"/>
      <c r="D134" s="171"/>
      <c r="E134" s="7" t="str">
        <f t="shared" ref="E134:R134" si="63" xml:space="preserve"> E$130</f>
        <v>True up RCV indexation</v>
      </c>
      <c r="F134" s="246">
        <f t="shared" si="63"/>
        <v>0</v>
      </c>
      <c r="G134" s="162" t="str">
        <f t="shared" si="63"/>
        <v>£m</v>
      </c>
      <c r="H134" s="246">
        <f t="shared" si="63"/>
        <v>0</v>
      </c>
      <c r="I134" s="246">
        <f t="shared" si="63"/>
        <v>0</v>
      </c>
      <c r="J134" s="246">
        <f t="shared" si="63"/>
        <v>0</v>
      </c>
      <c r="K134" s="246">
        <f t="shared" si="63"/>
        <v>0</v>
      </c>
      <c r="L134" s="246">
        <f t="shared" si="63"/>
        <v>0</v>
      </c>
      <c r="M134" s="246">
        <f t="shared" si="63"/>
        <v>45.477389103951886</v>
      </c>
      <c r="N134" s="246">
        <f t="shared" si="63"/>
        <v>54.724795206195367</v>
      </c>
      <c r="O134" s="246">
        <f t="shared" si="63"/>
        <v>57.786147637814032</v>
      </c>
      <c r="P134" s="246">
        <f t="shared" si="63"/>
        <v>58.318798289282448</v>
      </c>
      <c r="Q134" s="246">
        <f t="shared" si="63"/>
        <v>57.971382610097649</v>
      </c>
      <c r="R134" s="246">
        <f t="shared" si="63"/>
        <v>54.024409264920138</v>
      </c>
      <c r="S134" s="92"/>
      <c r="T134" s="92"/>
      <c r="U134" s="92"/>
      <c r="V134" s="92"/>
      <c r="W134" s="92"/>
      <c r="X134" s="92"/>
      <c r="Y134" s="92"/>
      <c r="Z134" s="92"/>
    </row>
    <row r="135" spans="1:16383" x14ac:dyDescent="0.25">
      <c r="C135" s="278"/>
      <c r="E135" s="7" t="s">
        <v>319</v>
      </c>
      <c r="F135" s="247"/>
      <c r="G135" s="162" t="s">
        <v>88</v>
      </c>
      <c r="H135" s="247"/>
      <c r="I135" s="247"/>
      <c r="J135" s="246">
        <f t="shared" ref="J135:R135" si="64" xml:space="preserve"> (J133+J134) * J132</f>
        <v>0</v>
      </c>
      <c r="K135" s="246">
        <f t="shared" si="64"/>
        <v>0</v>
      </c>
      <c r="L135" s="246">
        <f t="shared" si="64"/>
        <v>0</v>
      </c>
      <c r="M135" s="246">
        <f xml:space="preserve"> (M133+M134) * M132</f>
        <v>70.625666400271825</v>
      </c>
      <c r="N135" s="246">
        <f t="shared" si="64"/>
        <v>70.040828941509972</v>
      </c>
      <c r="O135" s="246">
        <f t="shared" si="64"/>
        <v>69.590099130286816</v>
      </c>
      <c r="P135" s="246">
        <f t="shared" si="64"/>
        <v>69.175538263757147</v>
      </c>
      <c r="Q135" s="246">
        <f t="shared" si="64"/>
        <v>68.763447011643905</v>
      </c>
      <c r="R135" s="246">
        <f t="shared" si="64"/>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InpR!$E$89</f>
        <v>RCV - CPI(H) + RPI wedge initial balance - nominal - WWN</v>
      </c>
      <c r="F137" s="250">
        <f>InpR!$F$89</f>
        <v>1874.7307090641443</v>
      </c>
      <c r="G137" s="250" t="str">
        <f>InpR!$G$89</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80"/>
      <c r="D140" s="56"/>
      <c r="E140" s="7" t="s">
        <v>163</v>
      </c>
      <c r="G140" s="162" t="s">
        <v>88</v>
      </c>
      <c r="J140" s="242">
        <f t="shared" ref="J140:R140" si="65" xml:space="preserve"> I143</f>
        <v>0</v>
      </c>
      <c r="K140" s="242">
        <f t="shared" si="65"/>
        <v>0</v>
      </c>
      <c r="L140" s="242">
        <f t="shared" si="65"/>
        <v>0</v>
      </c>
      <c r="M140" s="242">
        <f t="shared" si="65"/>
        <v>1874.7307090641443</v>
      </c>
      <c r="N140" s="242">
        <f t="shared" si="65"/>
        <v>1849.5824317678243</v>
      </c>
      <c r="O140" s="242">
        <f t="shared" si="65"/>
        <v>1834.2663980325096</v>
      </c>
      <c r="P140" s="242">
        <f t="shared" si="65"/>
        <v>1822.462446540037</v>
      </c>
      <c r="Q140" s="242">
        <f t="shared" si="65"/>
        <v>1811.6057065655625</v>
      </c>
      <c r="R140" s="242">
        <f t="shared" si="65"/>
        <v>1800.8136421640163</v>
      </c>
    </row>
    <row r="141" spans="1:16383" x14ac:dyDescent="0.25">
      <c r="A141" s="47"/>
      <c r="B141" s="51"/>
      <c r="C141" s="111"/>
      <c r="D141" s="56" t="s">
        <v>139</v>
      </c>
      <c r="E141" s="7" t="str">
        <f t="shared" ref="E141:R141" si="66" xml:space="preserve"> E$130</f>
        <v>True up RCV indexation</v>
      </c>
      <c r="F141" s="242">
        <f t="shared" si="66"/>
        <v>0</v>
      </c>
      <c r="G141" s="242" t="str">
        <f t="shared" si="66"/>
        <v>£m</v>
      </c>
      <c r="H141" s="242">
        <f t="shared" si="66"/>
        <v>0</v>
      </c>
      <c r="I141" s="242">
        <f t="shared" si="66"/>
        <v>0</v>
      </c>
      <c r="J141" s="242">
        <f t="shared" si="66"/>
        <v>0</v>
      </c>
      <c r="K141" s="242">
        <f t="shared" si="66"/>
        <v>0</v>
      </c>
      <c r="L141" s="242">
        <f t="shared" si="66"/>
        <v>0</v>
      </c>
      <c r="M141" s="242">
        <f t="shared" si="66"/>
        <v>45.477389103951886</v>
      </c>
      <c r="N141" s="242">
        <f t="shared" si="66"/>
        <v>54.724795206195367</v>
      </c>
      <c r="O141" s="242">
        <f t="shared" si="66"/>
        <v>57.786147637814032</v>
      </c>
      <c r="P141" s="242">
        <f t="shared" si="66"/>
        <v>58.318798289282448</v>
      </c>
      <c r="Q141" s="242">
        <f t="shared" si="66"/>
        <v>57.971382610097649</v>
      </c>
      <c r="R141" s="242">
        <f t="shared" si="66"/>
        <v>54.024409264920138</v>
      </c>
    </row>
    <row r="142" spans="1:16383" x14ac:dyDescent="0.25">
      <c r="A142" s="47"/>
      <c r="B142" s="51"/>
      <c r="C142" s="111"/>
      <c r="D142" s="56" t="s">
        <v>140</v>
      </c>
      <c r="E142" s="7" t="str">
        <f t="shared" ref="E142:R142" si="67" xml:space="preserve"> E$135</f>
        <v>True up Nominal RCV run-off</v>
      </c>
      <c r="F142" s="242">
        <f t="shared" si="67"/>
        <v>0</v>
      </c>
      <c r="G142" s="242" t="str">
        <f t="shared" si="67"/>
        <v>£m</v>
      </c>
      <c r="H142" s="242">
        <f t="shared" si="67"/>
        <v>0</v>
      </c>
      <c r="I142" s="242">
        <f t="shared" si="67"/>
        <v>0</v>
      </c>
      <c r="J142" s="242">
        <f t="shared" si="67"/>
        <v>0</v>
      </c>
      <c r="K142" s="242">
        <f t="shared" si="67"/>
        <v>0</v>
      </c>
      <c r="L142" s="242">
        <f t="shared" si="67"/>
        <v>0</v>
      </c>
      <c r="M142" s="242">
        <f t="shared" si="67"/>
        <v>70.625666400271825</v>
      </c>
      <c r="N142" s="242">
        <f t="shared" si="67"/>
        <v>70.040828941509972</v>
      </c>
      <c r="O142" s="242">
        <f t="shared" si="67"/>
        <v>69.590099130286816</v>
      </c>
      <c r="P142" s="242">
        <f t="shared" si="67"/>
        <v>69.175538263757147</v>
      </c>
      <c r="Q142" s="242">
        <f t="shared" si="67"/>
        <v>68.763447011643905</v>
      </c>
      <c r="R142" s="242">
        <f t="shared" si="67"/>
        <v>0</v>
      </c>
    </row>
    <row r="143" spans="1:16383" s="138" customFormat="1" x14ac:dyDescent="0.25">
      <c r="A143" s="134"/>
      <c r="B143" s="135"/>
      <c r="C143" s="279"/>
      <c r="D143" s="137"/>
      <c r="E143" s="138" t="s">
        <v>164</v>
      </c>
      <c r="G143" s="163" t="s">
        <v>88</v>
      </c>
      <c r="J143" s="243">
        <f t="shared" ref="J143:R143" si="68" xml:space="preserve"> IF( J138 = 1, $F137, J140 + J141 - J142)</f>
        <v>0</v>
      </c>
      <c r="K143" s="243">
        <f t="shared" si="68"/>
        <v>0</v>
      </c>
      <c r="L143" s="243">
        <f t="shared" si="68"/>
        <v>1874.7307090641443</v>
      </c>
      <c r="M143" s="243">
        <f t="shared" si="68"/>
        <v>1849.5824317678243</v>
      </c>
      <c r="N143" s="243">
        <f t="shared" si="68"/>
        <v>1834.2663980325096</v>
      </c>
      <c r="O143" s="243">
        <f t="shared" si="68"/>
        <v>1822.462446540037</v>
      </c>
      <c r="P143" s="243">
        <f t="shared" si="68"/>
        <v>1811.6057065655625</v>
      </c>
      <c r="Q143" s="243">
        <f t="shared" si="68"/>
        <v>1800.8136421640163</v>
      </c>
      <c r="R143" s="243">
        <f t="shared" si="68"/>
        <v>1854.8380514289365</v>
      </c>
    </row>
    <row r="145" spans="1:26" s="92" customFormat="1" x14ac:dyDescent="0.25">
      <c r="A145" s="164"/>
      <c r="B145" s="165"/>
      <c r="C145" s="166"/>
      <c r="D145" s="167"/>
      <c r="E145" s="179" t="str">
        <f t="shared" ref="E145:R145" si="69" xml:space="preserve"> E$140</f>
        <v>True up Nominal RCV balance BEG</v>
      </c>
      <c r="F145" s="185">
        <f t="shared" si="69"/>
        <v>0</v>
      </c>
      <c r="G145" s="185" t="str">
        <f t="shared" si="69"/>
        <v>£m</v>
      </c>
      <c r="H145" s="185">
        <f t="shared" si="69"/>
        <v>0</v>
      </c>
      <c r="I145" s="185">
        <f t="shared" si="69"/>
        <v>0</v>
      </c>
      <c r="J145" s="185">
        <f t="shared" si="69"/>
        <v>0</v>
      </c>
      <c r="K145" s="185">
        <f t="shared" si="69"/>
        <v>0</v>
      </c>
      <c r="L145" s="185">
        <f t="shared" si="69"/>
        <v>0</v>
      </c>
      <c r="M145" s="185">
        <f t="shared" si="69"/>
        <v>1874.7307090641443</v>
      </c>
      <c r="N145" s="185">
        <f t="shared" si="69"/>
        <v>1849.5824317678243</v>
      </c>
      <c r="O145" s="185">
        <f t="shared" si="69"/>
        <v>1834.2663980325096</v>
      </c>
      <c r="P145" s="185">
        <f t="shared" si="69"/>
        <v>1822.462446540037</v>
      </c>
      <c r="Q145" s="185">
        <f t="shared" si="69"/>
        <v>1811.6057065655625</v>
      </c>
      <c r="R145" s="185">
        <f t="shared" si="69"/>
        <v>1800.8136421640163</v>
      </c>
    </row>
    <row r="146" spans="1:26" s="91" customFormat="1" x14ac:dyDescent="0.25">
      <c r="A146" s="170"/>
      <c r="B146" s="165"/>
      <c r="C146" s="166"/>
      <c r="D146" s="171"/>
      <c r="E146" s="179" t="str">
        <f t="shared" ref="E146:R146" si="70" xml:space="preserve"> E$130</f>
        <v>True up RCV indexation</v>
      </c>
      <c r="F146" s="184">
        <f t="shared" si="70"/>
        <v>0</v>
      </c>
      <c r="G146" s="185" t="str">
        <f t="shared" si="70"/>
        <v>£m</v>
      </c>
      <c r="H146" s="184">
        <f t="shared" si="70"/>
        <v>0</v>
      </c>
      <c r="I146" s="184">
        <f t="shared" si="70"/>
        <v>0</v>
      </c>
      <c r="J146" s="184">
        <f t="shared" si="70"/>
        <v>0</v>
      </c>
      <c r="K146" s="184">
        <f t="shared" si="70"/>
        <v>0</v>
      </c>
      <c r="L146" s="184">
        <f t="shared" si="70"/>
        <v>0</v>
      </c>
      <c r="M146" s="184">
        <f t="shared" si="70"/>
        <v>45.477389103951886</v>
      </c>
      <c r="N146" s="184">
        <f t="shared" si="70"/>
        <v>54.724795206195367</v>
      </c>
      <c r="O146" s="184">
        <f t="shared" si="70"/>
        <v>57.786147637814032</v>
      </c>
      <c r="P146" s="184">
        <f t="shared" si="70"/>
        <v>58.318798289282448</v>
      </c>
      <c r="Q146" s="184">
        <f t="shared" si="70"/>
        <v>57.971382610097649</v>
      </c>
      <c r="R146" s="184">
        <f t="shared" si="70"/>
        <v>54.024409264920138</v>
      </c>
      <c r="S146" s="92"/>
      <c r="T146" s="92"/>
      <c r="U146" s="92"/>
      <c r="V146" s="92"/>
      <c r="W146" s="92"/>
      <c r="X146" s="92"/>
      <c r="Y146" s="92"/>
      <c r="Z146" s="92"/>
    </row>
    <row r="147" spans="1:26" s="92" customFormat="1" x14ac:dyDescent="0.25">
      <c r="A147" s="164"/>
      <c r="B147" s="165"/>
      <c r="C147" s="166"/>
      <c r="D147" s="167"/>
      <c r="E147" s="179" t="str">
        <f t="shared" ref="E147:R147" si="71" xml:space="preserve"> E$143</f>
        <v>True up Nominal RCV balance END</v>
      </c>
      <c r="F147" s="185">
        <f t="shared" si="71"/>
        <v>0</v>
      </c>
      <c r="G147" s="185" t="str">
        <f t="shared" si="71"/>
        <v>£m</v>
      </c>
      <c r="H147" s="185">
        <f t="shared" si="71"/>
        <v>0</v>
      </c>
      <c r="I147" s="185">
        <f t="shared" si="71"/>
        <v>0</v>
      </c>
      <c r="J147" s="185">
        <f t="shared" si="71"/>
        <v>0</v>
      </c>
      <c r="K147" s="185">
        <f t="shared" si="71"/>
        <v>0</v>
      </c>
      <c r="L147" s="185">
        <f t="shared" si="71"/>
        <v>1874.7307090641443</v>
      </c>
      <c r="M147" s="185">
        <f t="shared" si="71"/>
        <v>1849.5824317678243</v>
      </c>
      <c r="N147" s="185">
        <f t="shared" si="71"/>
        <v>1834.2663980325096</v>
      </c>
      <c r="O147" s="185">
        <f t="shared" si="71"/>
        <v>1822.462446540037</v>
      </c>
      <c r="P147" s="185">
        <f t="shared" si="71"/>
        <v>1811.6057065655625</v>
      </c>
      <c r="Q147" s="185">
        <f t="shared" si="71"/>
        <v>1800.8136421640163</v>
      </c>
      <c r="R147" s="185">
        <f t="shared" si="71"/>
        <v>1854.8380514289365</v>
      </c>
    </row>
    <row r="148" spans="1:26" x14ac:dyDescent="0.25">
      <c r="A148" s="49"/>
      <c r="C148" s="278"/>
      <c r="D148" s="57"/>
      <c r="E148" s="7" t="s">
        <v>317</v>
      </c>
      <c r="F148" s="244"/>
      <c r="G148" s="185" t="s">
        <v>88</v>
      </c>
      <c r="H148" s="244"/>
      <c r="I148" s="244"/>
      <c r="J148" s="185">
        <f t="shared" ref="J148:L148" si="72" xml:space="preserve"> ( (J145+J146) + J147) / 2</f>
        <v>0</v>
      </c>
      <c r="K148" s="185">
        <f t="shared" si="72"/>
        <v>0</v>
      </c>
      <c r="L148" s="185">
        <f t="shared" si="72"/>
        <v>937.36535453207216</v>
      </c>
      <c r="M148" s="185">
        <f xml:space="preserve"> ( (M145+M146) + M147) / 2</f>
        <v>1884.8952649679604</v>
      </c>
      <c r="N148" s="185">
        <f t="shared" ref="N148:R148" si="73" xml:space="preserve"> ( (N145+N146) + N147) / 2</f>
        <v>1869.2868125032646</v>
      </c>
      <c r="O148" s="185">
        <f t="shared" si="73"/>
        <v>1857.2574961051805</v>
      </c>
      <c r="P148" s="185">
        <f t="shared" si="73"/>
        <v>1846.193475697441</v>
      </c>
      <c r="Q148" s="185">
        <f t="shared" si="73"/>
        <v>1835.1953656698383</v>
      </c>
      <c r="R148" s="185">
        <f t="shared" si="73"/>
        <v>1854.8380514289365</v>
      </c>
    </row>
    <row r="150" spans="1:26" s="205" customFormat="1" x14ac:dyDescent="0.25">
      <c r="A150" s="201"/>
      <c r="B150" s="202"/>
      <c r="C150" s="203"/>
      <c r="D150" s="204"/>
      <c r="E150" s="205" t="str">
        <f xml:space="preserve"> InpR!E$103</f>
        <v>WACC on RCV - CPI(H) + RPI wedge bf and additions - WWN</v>
      </c>
      <c r="F150" s="205">
        <f xml:space="preserve"> InpR!F$103</f>
        <v>0</v>
      </c>
      <c r="G150" s="223" t="str">
        <f xml:space="preserve"> InpR!G$103</f>
        <v>%</v>
      </c>
      <c r="H150" s="205" t="str">
        <f xml:space="preserve"> InpR!I$103</f>
        <v>PR19 Financial model, 'Wastewater Network' sheet row 980</v>
      </c>
      <c r="I150" s="205" t="e">
        <f xml:space="preserve"> InpR!#REF!</f>
        <v>#REF!</v>
      </c>
      <c r="J150" s="205">
        <f xml:space="preserve"> InpR!J$103</f>
        <v>0</v>
      </c>
      <c r="K150" s="205">
        <f xml:space="preserve"> InpR!K$103</f>
        <v>0</v>
      </c>
      <c r="L150" s="205">
        <f xml:space="preserve"> InpR!L$103</f>
        <v>0</v>
      </c>
      <c r="M150" s="205">
        <f xml:space="preserve"> InpR!M$103</f>
        <v>1.920357193840716E-2</v>
      </c>
      <c r="N150" s="205">
        <f xml:space="preserve"> InpR!N$103</f>
        <v>1.920357193840716E-2</v>
      </c>
      <c r="O150" s="205">
        <f xml:space="preserve"> InpR!O$103</f>
        <v>1.920357193840716E-2</v>
      </c>
      <c r="P150" s="205">
        <f xml:space="preserve"> InpR!P$103</f>
        <v>1.920357193840716E-2</v>
      </c>
      <c r="Q150" s="205">
        <f xml:space="preserve"> InpR!Q$103</f>
        <v>1.920357193840716E-2</v>
      </c>
      <c r="R150" s="205">
        <f xml:space="preserve"> InpR!R$103</f>
        <v>0</v>
      </c>
    </row>
    <row r="151" spans="1:26"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26" x14ac:dyDescent="0.25">
      <c r="E152" s="7" t="str">
        <f t="shared" ref="E152:R152" si="74" xml:space="preserve"> E$148</f>
        <v>True up Nominal RCV average balance</v>
      </c>
      <c r="F152" s="184">
        <f t="shared" si="74"/>
        <v>0</v>
      </c>
      <c r="G152" s="184" t="str">
        <f t="shared" si="74"/>
        <v>£m</v>
      </c>
      <c r="H152" s="246">
        <f t="shared" si="74"/>
        <v>0</v>
      </c>
      <c r="I152" s="184">
        <f t="shared" si="74"/>
        <v>0</v>
      </c>
      <c r="J152" s="246">
        <f t="shared" si="74"/>
        <v>0</v>
      </c>
      <c r="K152" s="246">
        <f t="shared" si="74"/>
        <v>0</v>
      </c>
      <c r="L152" s="246">
        <f t="shared" si="74"/>
        <v>937.36535453207216</v>
      </c>
      <c r="M152" s="246">
        <f t="shared" si="74"/>
        <v>1884.8952649679604</v>
      </c>
      <c r="N152" s="246">
        <f t="shared" si="74"/>
        <v>1869.2868125032646</v>
      </c>
      <c r="O152" s="246">
        <f t="shared" si="74"/>
        <v>1857.2574961051805</v>
      </c>
      <c r="P152" s="246">
        <f t="shared" si="74"/>
        <v>1846.193475697441</v>
      </c>
      <c r="Q152" s="246">
        <f t="shared" si="74"/>
        <v>1835.1953656698383</v>
      </c>
      <c r="R152" s="246">
        <f t="shared" si="74"/>
        <v>1854.8380514289365</v>
      </c>
    </row>
    <row r="153" spans="1:26" x14ac:dyDescent="0.25">
      <c r="C153" s="278"/>
      <c r="E153" s="7" t="s">
        <v>320</v>
      </c>
      <c r="F153" s="244"/>
      <c r="G153" s="184" t="s">
        <v>88</v>
      </c>
      <c r="H153" s="244"/>
      <c r="I153" s="244"/>
      <c r="J153" s="246">
        <f t="shared" ref="J153:K153" si="75">J150*J151*J152</f>
        <v>0</v>
      </c>
      <c r="K153" s="246">
        <f t="shared" si="75"/>
        <v>0</v>
      </c>
      <c r="L153" s="246">
        <f>L150*L151*L152</f>
        <v>0</v>
      </c>
      <c r="M153" s="246">
        <f t="shared" ref="M153:R153" si="76">M150*M151*M152</f>
        <v>36.196721817175252</v>
      </c>
      <c r="N153" s="246">
        <f t="shared" si="76"/>
        <v>35.896983777422257</v>
      </c>
      <c r="O153" s="246">
        <f t="shared" si="76"/>
        <v>35.665977934601791</v>
      </c>
      <c r="P153" s="246">
        <f t="shared" si="76"/>
        <v>35.453509222773761</v>
      </c>
      <c r="Q153" s="246">
        <f t="shared" si="76"/>
        <v>35.242306225672174</v>
      </c>
      <c r="R153" s="246">
        <f t="shared" si="76"/>
        <v>0</v>
      </c>
    </row>
    <row r="154" spans="1:26" x14ac:dyDescent="0.25">
      <c r="M154" s="187"/>
      <c r="N154" s="187"/>
      <c r="O154" s="187"/>
      <c r="P154" s="187"/>
      <c r="Q154" s="187"/>
    </row>
    <row r="155" spans="1:26" s="91" customFormat="1" x14ac:dyDescent="0.25">
      <c r="A155" s="170"/>
      <c r="B155" s="165"/>
      <c r="C155" s="166"/>
      <c r="D155" s="171"/>
      <c r="E155" s="7" t="str">
        <f t="shared" ref="E155:R155" si="77" xml:space="preserve"> E$135</f>
        <v>True up Nominal RCV run-off</v>
      </c>
      <c r="F155" s="184">
        <f t="shared" si="77"/>
        <v>0</v>
      </c>
      <c r="G155" s="184" t="str">
        <f t="shared" si="77"/>
        <v>£m</v>
      </c>
      <c r="H155" s="184">
        <f t="shared" si="77"/>
        <v>0</v>
      </c>
      <c r="I155" s="184">
        <f t="shared" si="77"/>
        <v>0</v>
      </c>
      <c r="J155" s="184">
        <f t="shared" si="77"/>
        <v>0</v>
      </c>
      <c r="K155" s="184">
        <f t="shared" si="77"/>
        <v>0</v>
      </c>
      <c r="L155" s="184">
        <f t="shared" si="77"/>
        <v>0</v>
      </c>
      <c r="M155" s="184">
        <f t="shared" si="77"/>
        <v>70.625666400271825</v>
      </c>
      <c r="N155" s="184">
        <f t="shared" si="77"/>
        <v>70.040828941509972</v>
      </c>
      <c r="O155" s="184">
        <f t="shared" si="77"/>
        <v>69.590099130286816</v>
      </c>
      <c r="P155" s="184">
        <f t="shared" si="77"/>
        <v>69.175538263757147</v>
      </c>
      <c r="Q155" s="184">
        <f t="shared" si="77"/>
        <v>68.763447011643905</v>
      </c>
      <c r="R155" s="184">
        <f t="shared" si="77"/>
        <v>0</v>
      </c>
      <c r="S155" s="92"/>
      <c r="T155" s="92"/>
      <c r="U155" s="92"/>
      <c r="V155" s="92"/>
      <c r="W155" s="92"/>
      <c r="X155" s="92"/>
      <c r="Y155" s="92"/>
      <c r="Z155" s="92"/>
    </row>
    <row r="156" spans="1:26" x14ac:dyDescent="0.25">
      <c r="E156" s="7" t="str">
        <f t="shared" ref="E156:R156" si="78" xml:space="preserve"> E$153</f>
        <v>True up Nominal return</v>
      </c>
      <c r="F156" s="184">
        <f t="shared" si="78"/>
        <v>0</v>
      </c>
      <c r="G156" s="184" t="str">
        <f t="shared" si="78"/>
        <v>£m</v>
      </c>
      <c r="H156" s="184">
        <f t="shared" si="78"/>
        <v>0</v>
      </c>
      <c r="I156" s="184">
        <f t="shared" si="78"/>
        <v>0</v>
      </c>
      <c r="J156" s="184">
        <f t="shared" si="78"/>
        <v>0</v>
      </c>
      <c r="K156" s="184">
        <f t="shared" si="78"/>
        <v>0</v>
      </c>
      <c r="L156" s="184">
        <f t="shared" si="78"/>
        <v>0</v>
      </c>
      <c r="M156" s="184">
        <f t="shared" si="78"/>
        <v>36.196721817175252</v>
      </c>
      <c r="N156" s="184">
        <f t="shared" si="78"/>
        <v>35.896983777422257</v>
      </c>
      <c r="O156" s="184">
        <f t="shared" si="78"/>
        <v>35.665977934601791</v>
      </c>
      <c r="P156" s="184">
        <f t="shared" si="78"/>
        <v>35.453509222773761</v>
      </c>
      <c r="Q156" s="184">
        <f t="shared" si="78"/>
        <v>35.242306225672174</v>
      </c>
      <c r="R156" s="184">
        <f t="shared" si="78"/>
        <v>0</v>
      </c>
    </row>
    <row r="157" spans="1:26" x14ac:dyDescent="0.25">
      <c r="C157" s="278"/>
      <c r="E157" s="7" t="s">
        <v>321</v>
      </c>
      <c r="F157" s="244"/>
      <c r="G157" s="184" t="str">
        <f t="shared" ref="G157" si="79">G$155</f>
        <v>£m</v>
      </c>
      <c r="H157" s="244">
        <f>SUM(J157:R157)</f>
        <v>526.65107872511487</v>
      </c>
      <c r="I157" s="244"/>
      <c r="J157" s="244">
        <f t="shared" ref="J157:R157" si="80">SUM(J155:J156)</f>
        <v>0</v>
      </c>
      <c r="K157" s="244">
        <f t="shared" si="80"/>
        <v>0</v>
      </c>
      <c r="L157" s="244">
        <f>SUM(L155:L156)</f>
        <v>0</v>
      </c>
      <c r="M157" s="244">
        <f t="shared" si="80"/>
        <v>106.82238821744707</v>
      </c>
      <c r="N157" s="244">
        <f t="shared" si="80"/>
        <v>105.93781271893224</v>
      </c>
      <c r="O157" s="244">
        <f t="shared" si="80"/>
        <v>105.25607706488861</v>
      </c>
      <c r="P157" s="244">
        <f t="shared" si="80"/>
        <v>104.62904748653091</v>
      </c>
      <c r="Q157" s="244">
        <f t="shared" si="80"/>
        <v>104.00575323731607</v>
      </c>
      <c r="R157" s="244">
        <f t="shared" si="80"/>
        <v>0</v>
      </c>
    </row>
    <row r="159" spans="1:26" x14ac:dyDescent="0.25">
      <c r="E159" s="7" t="str">
        <f t="shared" ref="E159:R159" si="81" xml:space="preserve"> E$157</f>
        <v>Total True up Nominal revenue to company</v>
      </c>
      <c r="F159" s="184">
        <f t="shared" si="81"/>
        <v>0</v>
      </c>
      <c r="G159" s="184" t="str">
        <f t="shared" si="81"/>
        <v>£m</v>
      </c>
      <c r="H159" s="184">
        <f t="shared" si="81"/>
        <v>526.65107872511487</v>
      </c>
      <c r="I159" s="184">
        <f t="shared" si="81"/>
        <v>0</v>
      </c>
      <c r="J159" s="184">
        <f t="shared" si="81"/>
        <v>0</v>
      </c>
      <c r="K159" s="184">
        <f t="shared" si="81"/>
        <v>0</v>
      </c>
      <c r="L159" s="184">
        <f t="shared" si="81"/>
        <v>0</v>
      </c>
      <c r="M159" s="184">
        <f t="shared" si="81"/>
        <v>106.82238821744707</v>
      </c>
      <c r="N159" s="184">
        <f t="shared" si="81"/>
        <v>105.93781271893224</v>
      </c>
      <c r="O159" s="184">
        <f t="shared" si="81"/>
        <v>105.25607706488861</v>
      </c>
      <c r="P159" s="184">
        <f t="shared" si="81"/>
        <v>104.62904748653091</v>
      </c>
      <c r="Q159" s="184">
        <f t="shared" si="81"/>
        <v>104.00575323731607</v>
      </c>
      <c r="R159" s="184">
        <f t="shared" si="81"/>
        <v>0</v>
      </c>
    </row>
    <row r="160" spans="1:26" x14ac:dyDescent="0.25">
      <c r="E160" s="7" t="str">
        <f t="shared" ref="E160:R160" si="82" xml:space="preserve"> E$108</f>
        <v>Total nominal revenue company should have received</v>
      </c>
      <c r="F160" s="184">
        <f t="shared" si="82"/>
        <v>0</v>
      </c>
      <c r="G160" s="184" t="str">
        <f t="shared" si="82"/>
        <v>£m</v>
      </c>
      <c r="H160" s="184">
        <f t="shared" si="82"/>
        <v>542.21715196884918</v>
      </c>
      <c r="I160" s="184">
        <f t="shared" si="82"/>
        <v>0</v>
      </c>
      <c r="J160" s="184">
        <f t="shared" si="82"/>
        <v>0</v>
      </c>
      <c r="K160" s="184">
        <f t="shared" si="82"/>
        <v>0</v>
      </c>
      <c r="L160" s="184">
        <f t="shared" si="82"/>
        <v>0</v>
      </c>
      <c r="M160" s="184">
        <f t="shared" si="82"/>
        <v>106.43142582533861</v>
      </c>
      <c r="N160" s="184">
        <f t="shared" si="82"/>
        <v>106.72689788657942</v>
      </c>
      <c r="O160" s="184">
        <f t="shared" si="82"/>
        <v>109.14938494826126</v>
      </c>
      <c r="P160" s="184">
        <f t="shared" si="82"/>
        <v>110.11653851619977</v>
      </c>
      <c r="Q160" s="184">
        <f t="shared" si="82"/>
        <v>109.79290479247015</v>
      </c>
      <c r="R160" s="184">
        <f t="shared" si="82"/>
        <v>0</v>
      </c>
    </row>
    <row r="161" spans="1:16383" s="185" customFormat="1" x14ac:dyDescent="0.25">
      <c r="A161" s="252"/>
      <c r="B161" s="181"/>
      <c r="C161" s="182"/>
      <c r="D161" s="253"/>
      <c r="E161" s="7" t="s">
        <v>268</v>
      </c>
      <c r="G161" s="185" t="str">
        <f t="shared" ref="G161" si="83" xml:space="preserve"> G$153</f>
        <v>£m</v>
      </c>
      <c r="H161" s="185">
        <f xml:space="preserve"> SUM(J161:R161)</f>
        <v>15.566073243734309</v>
      </c>
      <c r="J161" s="185">
        <f t="shared" ref="J161:K161" si="84">J160-J159</f>
        <v>0</v>
      </c>
      <c r="K161" s="185">
        <f t="shared" si="84"/>
        <v>0</v>
      </c>
      <c r="L161" s="185">
        <f>L160-L159</f>
        <v>0</v>
      </c>
      <c r="M161" s="185">
        <f>M160-M159</f>
        <v>-0.39096239210846306</v>
      </c>
      <c r="N161" s="185">
        <f t="shared" ref="N161:R161" si="85">N160-N159</f>
        <v>0.78908516764718684</v>
      </c>
      <c r="O161" s="185">
        <f t="shared" si="85"/>
        <v>3.8933078833726427</v>
      </c>
      <c r="P161" s="185">
        <f t="shared" si="85"/>
        <v>5.4874910296688597</v>
      </c>
      <c r="Q161" s="185">
        <f t="shared" si="85"/>
        <v>5.7871515551540824</v>
      </c>
      <c r="R161" s="185">
        <f t="shared" si="85"/>
        <v>0</v>
      </c>
    </row>
    <row r="163" spans="1:16383" s="91" customFormat="1" x14ac:dyDescent="0.25">
      <c r="A163" s="170"/>
      <c r="B163" s="165"/>
      <c r="C163" s="166"/>
      <c r="D163" s="171"/>
      <c r="E163" s="7" t="str">
        <f t="shared" ref="E163:R163" si="86" xml:space="preserve"> E$161</f>
        <v>Value of True up nominal</v>
      </c>
      <c r="F163" s="248">
        <f t="shared" si="86"/>
        <v>0</v>
      </c>
      <c r="G163" s="248" t="str">
        <f t="shared" si="86"/>
        <v>£m</v>
      </c>
      <c r="H163" s="248">
        <f t="shared" si="86"/>
        <v>15.566073243734309</v>
      </c>
      <c r="I163" s="248">
        <f t="shared" si="86"/>
        <v>0</v>
      </c>
      <c r="J163" s="248">
        <f t="shared" si="86"/>
        <v>0</v>
      </c>
      <c r="K163" s="248">
        <f t="shared" si="86"/>
        <v>0</v>
      </c>
      <c r="L163" s="248">
        <f t="shared" si="86"/>
        <v>0</v>
      </c>
      <c r="M163" s="248">
        <f t="shared" si="86"/>
        <v>-0.39096239210846306</v>
      </c>
      <c r="N163" s="248">
        <f t="shared" si="86"/>
        <v>0.78908516764718684</v>
      </c>
      <c r="O163" s="248">
        <f t="shared" si="86"/>
        <v>3.8933078833726427</v>
      </c>
      <c r="P163" s="248">
        <f t="shared" si="86"/>
        <v>5.4874910296688597</v>
      </c>
      <c r="Q163" s="248">
        <f t="shared" si="86"/>
        <v>5.7871515551540824</v>
      </c>
      <c r="R163" s="248">
        <f t="shared" si="86"/>
        <v>0</v>
      </c>
      <c r="S163" s="92"/>
      <c r="T163" s="92"/>
      <c r="U163" s="92"/>
      <c r="V163" s="92"/>
      <c r="W163" s="92"/>
      <c r="X163" s="92"/>
      <c r="Y163" s="92"/>
      <c r="Z163" s="92"/>
    </row>
    <row r="164" spans="1:16383" s="91" customFormat="1" x14ac:dyDescent="0.25">
      <c r="A164" s="170"/>
      <c r="B164" s="165"/>
      <c r="C164" s="166"/>
      <c r="D164" s="171"/>
      <c r="E164" s="7" t="str">
        <f t="shared" ref="E164:R164" si="87" xml:space="preserve"> E$116</f>
        <v>Difference in nominal revenue</v>
      </c>
      <c r="F164" s="248">
        <f t="shared" si="87"/>
        <v>0</v>
      </c>
      <c r="G164" s="248" t="str">
        <f t="shared" si="87"/>
        <v>£m</v>
      </c>
      <c r="H164" s="248">
        <f t="shared" si="87"/>
        <v>15.566073243734309</v>
      </c>
      <c r="I164" s="248">
        <f t="shared" si="87"/>
        <v>0</v>
      </c>
      <c r="J164" s="248">
        <f t="shared" si="87"/>
        <v>0</v>
      </c>
      <c r="K164" s="248">
        <f t="shared" si="87"/>
        <v>0</v>
      </c>
      <c r="L164" s="248">
        <f t="shared" si="87"/>
        <v>0</v>
      </c>
      <c r="M164" s="248">
        <f t="shared" si="87"/>
        <v>-0.39096239210846306</v>
      </c>
      <c r="N164" s="248">
        <f t="shared" si="87"/>
        <v>0.78908516764718684</v>
      </c>
      <c r="O164" s="248">
        <f t="shared" si="87"/>
        <v>3.8933078833726427</v>
      </c>
      <c r="P164" s="248">
        <f t="shared" si="87"/>
        <v>5.4874910296688597</v>
      </c>
      <c r="Q164" s="248">
        <f t="shared" si="87"/>
        <v>5.7871515551540824</v>
      </c>
      <c r="R164" s="248">
        <f t="shared" si="87"/>
        <v>0</v>
      </c>
      <c r="S164" s="92"/>
      <c r="T164" s="92"/>
      <c r="U164" s="92"/>
      <c r="V164" s="92"/>
      <c r="W164" s="92"/>
      <c r="X164" s="92"/>
      <c r="Y164" s="92"/>
      <c r="Z164" s="92"/>
    </row>
    <row r="165" spans="1:16383" s="211" customFormat="1" x14ac:dyDescent="0.25">
      <c r="A165" s="224"/>
      <c r="B165" s="208"/>
      <c r="C165" s="209"/>
      <c r="D165" s="210"/>
      <c r="E165" s="7" t="s">
        <v>165</v>
      </c>
      <c r="F165" s="225">
        <f>SUM(J165:R165)</f>
        <v>0</v>
      </c>
      <c r="G165" s="211" t="s">
        <v>128</v>
      </c>
      <c r="J165" s="225">
        <f t="shared" ref="J165:R165" si="88">IF( ABS(J163-J164)&gt;ChK_Tol,1,0)</f>
        <v>0</v>
      </c>
      <c r="K165" s="225">
        <f t="shared" si="88"/>
        <v>0</v>
      </c>
      <c r="L165" s="225">
        <f t="shared" si="88"/>
        <v>0</v>
      </c>
      <c r="M165" s="225">
        <f t="shared" si="88"/>
        <v>0</v>
      </c>
      <c r="N165" s="225">
        <f t="shared" si="88"/>
        <v>0</v>
      </c>
      <c r="O165" s="225">
        <f t="shared" si="88"/>
        <v>0</v>
      </c>
      <c r="P165" s="225">
        <f t="shared" si="88"/>
        <v>0</v>
      </c>
      <c r="Q165" s="225">
        <f t="shared" si="88"/>
        <v>0</v>
      </c>
      <c r="R165" s="225">
        <f t="shared" si="88"/>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89" xml:space="preserve"> N163=N164</f>
        <v>1</v>
      </c>
      <c r="O166" s="186" t="b">
        <f t="shared" si="89"/>
        <v>1</v>
      </c>
      <c r="P166" s="186" t="b">
        <f t="shared" si="89"/>
        <v>1</v>
      </c>
      <c r="Q166" s="186" t="b">
        <f t="shared" si="89"/>
        <v>1</v>
      </c>
    </row>
    <row r="167" spans="1:16383" x14ac:dyDescent="0.25">
      <c r="A167" s="50" t="s">
        <v>278</v>
      </c>
      <c r="B167" s="50"/>
    </row>
    <row r="169" spans="1:16383" x14ac:dyDescent="0.25">
      <c r="E169" s="7" t="str">
        <f>E$42 &amp; " - nominal"</f>
        <v>Forecast RCV average balance - nominal</v>
      </c>
      <c r="F169" s="184">
        <f t="shared" ref="F169:R169" si="90">F$42</f>
        <v>0</v>
      </c>
      <c r="G169" s="7" t="str">
        <f t="shared" si="90"/>
        <v>£m</v>
      </c>
      <c r="H169" s="247">
        <f t="shared" si="90"/>
        <v>0</v>
      </c>
      <c r="I169" s="247">
        <f t="shared" si="90"/>
        <v>0</v>
      </c>
      <c r="J169" s="184">
        <f t="shared" si="90"/>
        <v>0</v>
      </c>
      <c r="K169" s="184">
        <f t="shared" si="90"/>
        <v>0</v>
      </c>
      <c r="L169" s="184">
        <f t="shared" si="90"/>
        <v>937.36535453207216</v>
      </c>
      <c r="M169" s="185">
        <f t="shared" si="90"/>
        <v>1884.8952649679604</v>
      </c>
      <c r="N169" s="184">
        <f t="shared" si="90"/>
        <v>1869.2868125032646</v>
      </c>
      <c r="O169" s="184">
        <f t="shared" si="90"/>
        <v>1857.2574961051805</v>
      </c>
      <c r="P169" s="184">
        <f t="shared" si="90"/>
        <v>1846.193475697441</v>
      </c>
      <c r="Q169" s="184">
        <f t="shared" si="90"/>
        <v>1835.1953656698383</v>
      </c>
      <c r="R169" s="184">
        <f t="shared" si="90"/>
        <v>1854.8380514289365</v>
      </c>
    </row>
    <row r="170" spans="1:16383" x14ac:dyDescent="0.25">
      <c r="E170" s="7" t="str">
        <f>E$93 &amp; " - nominal"</f>
        <v>Actual average RCV balance - nominal</v>
      </c>
      <c r="F170" s="184">
        <f t="shared" ref="F170:R170" si="91">F$93</f>
        <v>0</v>
      </c>
      <c r="G170" s="7" t="str">
        <f t="shared" si="91"/>
        <v>£m</v>
      </c>
      <c r="H170" s="247">
        <f t="shared" si="91"/>
        <v>0</v>
      </c>
      <c r="I170" s="247">
        <f t="shared" si="91"/>
        <v>0</v>
      </c>
      <c r="J170" s="184">
        <f t="shared" si="91"/>
        <v>0</v>
      </c>
      <c r="K170" s="184">
        <f t="shared" si="91"/>
        <v>0</v>
      </c>
      <c r="L170" s="184">
        <f t="shared" si="91"/>
        <v>937.36535453207216</v>
      </c>
      <c r="M170" s="185">
        <f t="shared" si="91"/>
        <v>1877.9966814971833</v>
      </c>
      <c r="N170" s="184">
        <f t="shared" si="91"/>
        <v>1883.2103253639491</v>
      </c>
      <c r="O170" s="184">
        <f t="shared" si="91"/>
        <v>1925.9554321548162</v>
      </c>
      <c r="P170" s="184">
        <f t="shared" si="91"/>
        <v>1943.0209856508991</v>
      </c>
      <c r="Q170" s="184">
        <f t="shared" si="91"/>
        <v>1937.3104254994055</v>
      </c>
      <c r="R170" s="184">
        <f t="shared" si="91"/>
        <v>1939.0359254280152</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tr">
        <f>E$42 &amp; " - real"</f>
        <v>Forecast RCV average balance - real</v>
      </c>
      <c r="F172" s="184"/>
      <c r="G172" s="184" t="s">
        <v>88</v>
      </c>
      <c r="H172" s="244"/>
      <c r="I172" s="184"/>
      <c r="J172" s="184">
        <f t="shared" ref="J172:R173" si="92" xml:space="preserve"> IF(J$171 = 0, 0, J169 / J$171)</f>
        <v>0</v>
      </c>
      <c r="K172" s="184">
        <f t="shared" si="92"/>
        <v>0</v>
      </c>
      <c r="L172" s="184">
        <f t="shared" si="92"/>
        <v>899.925812800215</v>
      </c>
      <c r="M172" s="184">
        <f t="shared" si="92"/>
        <v>1774.4170465511661</v>
      </c>
      <c r="N172" s="184">
        <f t="shared" si="92"/>
        <v>1725.1480546364435</v>
      </c>
      <c r="O172" s="184">
        <f t="shared" si="92"/>
        <v>1679.2007882518083</v>
      </c>
      <c r="P172" s="184">
        <f t="shared" si="92"/>
        <v>1634.8653124480566</v>
      </c>
      <c r="Q172" s="184">
        <f t="shared" si="92"/>
        <v>1591.7004139978246</v>
      </c>
      <c r="R172" s="184">
        <f t="shared" si="92"/>
        <v>1577.1930343523356</v>
      </c>
      <c r="S172" s="92"/>
      <c r="T172" s="92"/>
      <c r="U172" s="92"/>
      <c r="V172" s="92"/>
      <c r="W172" s="92"/>
      <c r="X172" s="92"/>
      <c r="Y172" s="92"/>
      <c r="Z172" s="92"/>
    </row>
    <row r="173" spans="1:16383" s="91" customFormat="1" x14ac:dyDescent="0.25">
      <c r="A173" s="170"/>
      <c r="B173" s="165"/>
      <c r="C173" s="166"/>
      <c r="D173" s="171"/>
      <c r="E173" s="7" t="str">
        <f>E$93 &amp; " - real"</f>
        <v>Actual average RCV balance - real</v>
      </c>
      <c r="F173" s="184"/>
      <c r="G173" s="184" t="s">
        <v>88</v>
      </c>
      <c r="H173" s="244"/>
      <c r="I173" s="184"/>
      <c r="J173" s="184">
        <f t="shared" si="92"/>
        <v>0</v>
      </c>
      <c r="K173" s="184">
        <f t="shared" si="92"/>
        <v>0</v>
      </c>
      <c r="L173" s="184">
        <f t="shared" si="92"/>
        <v>899.925812800215</v>
      </c>
      <c r="M173" s="184">
        <f t="shared" si="92"/>
        <v>1767.9228055526821</v>
      </c>
      <c r="N173" s="184">
        <f t="shared" si="92"/>
        <v>1737.9979399320812</v>
      </c>
      <c r="O173" s="184">
        <f t="shared" si="92"/>
        <v>1741.3126002152733</v>
      </c>
      <c r="P173" s="184">
        <f t="shared" si="92"/>
        <v>1720.6092712462134</v>
      </c>
      <c r="Q173" s="184">
        <f t="shared" si="92"/>
        <v>1680.2667792179163</v>
      </c>
      <c r="R173" s="184">
        <f t="shared" si="92"/>
        <v>1648.7875869205873</v>
      </c>
      <c r="S173" s="92"/>
      <c r="T173" s="92"/>
      <c r="U173" s="92"/>
      <c r="V173" s="92"/>
      <c r="W173" s="92"/>
      <c r="X173" s="92"/>
      <c r="Y173" s="92"/>
      <c r="Z173" s="92"/>
    </row>
    <row r="174" spans="1:16383" s="91" customFormat="1" x14ac:dyDescent="0.25">
      <c r="A174" s="170"/>
      <c r="B174" s="165"/>
      <c r="C174" s="166"/>
      <c r="D174" s="171"/>
      <c r="E174" s="7" t="s">
        <v>277</v>
      </c>
      <c r="F174" s="184"/>
      <c r="G174" s="184" t="s">
        <v>88</v>
      </c>
      <c r="H174" s="244"/>
      <c r="I174" s="184"/>
      <c r="J174" s="185">
        <f>J173-J172</f>
        <v>0</v>
      </c>
      <c r="K174" s="185">
        <f t="shared" ref="K174:R174" si="93">K173-K172</f>
        <v>0</v>
      </c>
      <c r="L174" s="185">
        <f t="shared" si="93"/>
        <v>0</v>
      </c>
      <c r="M174" s="185">
        <f t="shared" si="93"/>
        <v>-6.4942409984839742</v>
      </c>
      <c r="N174" s="185">
        <f t="shared" si="93"/>
        <v>12.849885295637705</v>
      </c>
      <c r="O174" s="185">
        <f t="shared" si="93"/>
        <v>62.111811963465016</v>
      </c>
      <c r="P174" s="185">
        <f t="shared" si="93"/>
        <v>85.743958798156882</v>
      </c>
      <c r="Q174" s="185">
        <f t="shared" si="93"/>
        <v>88.566365220091711</v>
      </c>
      <c r="R174" s="185">
        <f t="shared" si="93"/>
        <v>71.594552568251629</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s="91" customFormat="1" x14ac:dyDescent="0.25">
      <c r="A176" s="170"/>
      <c r="B176" s="165"/>
      <c r="C176" s="166"/>
      <c r="D176" s="171"/>
      <c r="E176" s="7" t="str">
        <f>E$174</f>
        <v>Difference RCV average - real</v>
      </c>
      <c r="F176" s="184">
        <f t="shared" ref="F176:R176" si="94">F$174</f>
        <v>0</v>
      </c>
      <c r="G176" s="184" t="str">
        <f t="shared" si="94"/>
        <v>£m</v>
      </c>
      <c r="H176" s="244">
        <f t="shared" si="94"/>
        <v>0</v>
      </c>
      <c r="I176" s="184">
        <f t="shared" si="94"/>
        <v>0</v>
      </c>
      <c r="J176" s="185">
        <f t="shared" si="94"/>
        <v>0</v>
      </c>
      <c r="K176" s="185">
        <f t="shared" si="94"/>
        <v>0</v>
      </c>
      <c r="L176" s="185">
        <f t="shared" si="94"/>
        <v>0</v>
      </c>
      <c r="M176" s="185">
        <f t="shared" si="94"/>
        <v>-6.4942409984839742</v>
      </c>
      <c r="N176" s="185">
        <f t="shared" si="94"/>
        <v>12.849885295637705</v>
      </c>
      <c r="O176" s="185">
        <f t="shared" si="94"/>
        <v>62.111811963465016</v>
      </c>
      <c r="P176" s="185">
        <f t="shared" si="94"/>
        <v>85.743958798156882</v>
      </c>
      <c r="Q176" s="185">
        <f t="shared" si="94"/>
        <v>88.566365220091711</v>
      </c>
      <c r="R176" s="185">
        <f t="shared" si="94"/>
        <v>71.594552568251629</v>
      </c>
      <c r="S176" s="92"/>
      <c r="T176" s="92"/>
      <c r="U176" s="92"/>
      <c r="V176" s="92"/>
      <c r="W176" s="92"/>
      <c r="X176" s="92"/>
      <c r="Y176" s="92"/>
      <c r="Z176" s="92"/>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9" customFormat="1" x14ac:dyDescent="0.25">
      <c r="A178" s="272"/>
      <c r="B178" s="273"/>
      <c r="C178" s="274"/>
      <c r="D178" s="275"/>
      <c r="E178" s="34" t="s">
        <v>361</v>
      </c>
      <c r="F178" s="271"/>
      <c r="G178" s="271" t="s">
        <v>88</v>
      </c>
      <c r="H178" s="270"/>
      <c r="I178" s="271"/>
      <c r="J178" s="271">
        <f xml:space="preserve"> J176 * J177</f>
        <v>0</v>
      </c>
      <c r="K178" s="271">
        <f t="shared" ref="K178:R178" si="95" xml:space="preserve"> K176 * K177</f>
        <v>0</v>
      </c>
      <c r="L178" s="271">
        <f t="shared" si="95"/>
        <v>0</v>
      </c>
      <c r="M178" s="271">
        <f t="shared" si="95"/>
        <v>0</v>
      </c>
      <c r="N178" s="271">
        <f t="shared" si="95"/>
        <v>0</v>
      </c>
      <c r="O178" s="271">
        <f t="shared" si="95"/>
        <v>0</v>
      </c>
      <c r="P178" s="271">
        <f t="shared" si="95"/>
        <v>0</v>
      </c>
      <c r="Q178" s="271">
        <f t="shared" si="95"/>
        <v>88.566365220091711</v>
      </c>
      <c r="R178" s="271">
        <f t="shared" si="95"/>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279</v>
      </c>
      <c r="B180" s="50"/>
    </row>
    <row r="182" spans="1:26" s="91" customFormat="1" x14ac:dyDescent="0.25">
      <c r="A182" s="170"/>
      <c r="B182" s="165"/>
      <c r="C182" s="166"/>
      <c r="D182" s="171"/>
      <c r="E182" s="7" t="str">
        <f>E$135</f>
        <v>True up Nominal RCV run-off</v>
      </c>
      <c r="F182" s="184">
        <f t="shared" ref="F182:R182" si="96">F$135</f>
        <v>0</v>
      </c>
      <c r="G182" s="184" t="str">
        <f t="shared" si="96"/>
        <v>£m</v>
      </c>
      <c r="H182" s="184">
        <f t="shared" si="96"/>
        <v>0</v>
      </c>
      <c r="I182" s="184">
        <f t="shared" si="96"/>
        <v>0</v>
      </c>
      <c r="J182" s="184">
        <f t="shared" si="96"/>
        <v>0</v>
      </c>
      <c r="K182" s="184">
        <f t="shared" si="96"/>
        <v>0</v>
      </c>
      <c r="L182" s="184">
        <f t="shared" si="96"/>
        <v>0</v>
      </c>
      <c r="M182" s="185">
        <f t="shared" si="96"/>
        <v>70.625666400271825</v>
      </c>
      <c r="N182" s="184">
        <f t="shared" si="96"/>
        <v>70.040828941509972</v>
      </c>
      <c r="O182" s="184">
        <f t="shared" si="96"/>
        <v>69.590099130286816</v>
      </c>
      <c r="P182" s="184">
        <f t="shared" si="96"/>
        <v>69.175538263757147</v>
      </c>
      <c r="Q182" s="184">
        <f t="shared" si="96"/>
        <v>68.763447011643905</v>
      </c>
      <c r="R182" s="184">
        <f t="shared" si="96"/>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97">F$153</f>
        <v>0</v>
      </c>
      <c r="G183" s="184" t="str">
        <f t="shared" si="97"/>
        <v>£m</v>
      </c>
      <c r="H183" s="184">
        <f t="shared" si="97"/>
        <v>0</v>
      </c>
      <c r="I183" s="184">
        <f t="shared" si="97"/>
        <v>0</v>
      </c>
      <c r="J183" s="184">
        <f t="shared" si="97"/>
        <v>0</v>
      </c>
      <c r="K183" s="184">
        <f t="shared" si="97"/>
        <v>0</v>
      </c>
      <c r="L183" s="184">
        <f t="shared" si="97"/>
        <v>0</v>
      </c>
      <c r="M183" s="184">
        <f t="shared" si="97"/>
        <v>36.196721817175252</v>
      </c>
      <c r="N183" s="184">
        <f t="shared" si="97"/>
        <v>35.896983777422257</v>
      </c>
      <c r="O183" s="184">
        <f t="shared" si="97"/>
        <v>35.665977934601791</v>
      </c>
      <c r="P183" s="184">
        <f t="shared" si="97"/>
        <v>35.453509222773761</v>
      </c>
      <c r="Q183" s="184">
        <f t="shared" si="97"/>
        <v>35.242306225672174</v>
      </c>
      <c r="R183" s="184">
        <f t="shared" si="97"/>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98">F$157</f>
        <v>0</v>
      </c>
      <c r="G184" s="184" t="str">
        <f t="shared" si="98"/>
        <v>£m</v>
      </c>
      <c r="H184" s="184">
        <f t="shared" si="98"/>
        <v>526.65107872511487</v>
      </c>
      <c r="I184" s="184">
        <f t="shared" si="98"/>
        <v>0</v>
      </c>
      <c r="J184" s="184">
        <f t="shared" si="98"/>
        <v>0</v>
      </c>
      <c r="K184" s="184">
        <f t="shared" si="98"/>
        <v>0</v>
      </c>
      <c r="L184" s="184">
        <f t="shared" si="98"/>
        <v>0</v>
      </c>
      <c r="M184" s="184">
        <f t="shared" si="98"/>
        <v>106.82238821744707</v>
      </c>
      <c r="N184" s="184">
        <f t="shared" si="98"/>
        <v>105.93781271893224</v>
      </c>
      <c r="O184" s="184">
        <f t="shared" si="98"/>
        <v>105.25607706488861</v>
      </c>
      <c r="P184" s="184">
        <f t="shared" si="98"/>
        <v>104.62904748653091</v>
      </c>
      <c r="Q184" s="184">
        <f t="shared" si="98"/>
        <v>104.00575323731607</v>
      </c>
      <c r="R184" s="184">
        <f t="shared" si="98"/>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99">F$106</f>
        <v>0</v>
      </c>
      <c r="G185" s="184" t="str">
        <f t="shared" si="99"/>
        <v>£m</v>
      </c>
      <c r="H185" s="184">
        <f t="shared" si="99"/>
        <v>0</v>
      </c>
      <c r="I185" s="184">
        <f t="shared" si="99"/>
        <v>0</v>
      </c>
      <c r="J185" s="184">
        <f t="shared" si="99"/>
        <v>0</v>
      </c>
      <c r="K185" s="184">
        <f t="shared" si="99"/>
        <v>0</v>
      </c>
      <c r="L185" s="184">
        <f t="shared" si="99"/>
        <v>0</v>
      </c>
      <c r="M185" s="184">
        <f t="shared" si="99"/>
        <v>70.367181452117521</v>
      </c>
      <c r="N185" s="184">
        <f t="shared" si="99"/>
        <v>70.562532928301678</v>
      </c>
      <c r="O185" s="184">
        <f t="shared" si="99"/>
        <v>72.164161256710202</v>
      </c>
      <c r="P185" s="184">
        <f t="shared" si="99"/>
        <v>72.803595240417948</v>
      </c>
      <c r="Q185" s="184">
        <f t="shared" si="99"/>
        <v>72.589624669366131</v>
      </c>
      <c r="R185" s="184">
        <f t="shared" si="99"/>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00">F$107</f>
        <v>0</v>
      </c>
      <c r="G186" s="184" t="str">
        <f t="shared" si="100"/>
        <v>£m</v>
      </c>
      <c r="H186" s="184">
        <f t="shared" si="100"/>
        <v>0</v>
      </c>
      <c r="I186" s="184">
        <f t="shared" si="100"/>
        <v>0</v>
      </c>
      <c r="J186" s="184">
        <f t="shared" si="100"/>
        <v>0</v>
      </c>
      <c r="K186" s="184">
        <f t="shared" si="100"/>
        <v>0</v>
      </c>
      <c r="L186" s="184">
        <f t="shared" si="100"/>
        <v>0</v>
      </c>
      <c r="M186" s="184">
        <f t="shared" si="100"/>
        <v>36.064244373221079</v>
      </c>
      <c r="N186" s="184">
        <f t="shared" si="100"/>
        <v>36.164364958277751</v>
      </c>
      <c r="O186" s="184">
        <f t="shared" si="100"/>
        <v>36.985223691551063</v>
      </c>
      <c r="P186" s="184">
        <f t="shared" si="100"/>
        <v>37.312943275781826</v>
      </c>
      <c r="Q186" s="184">
        <f t="shared" si="100"/>
        <v>37.203280123104015</v>
      </c>
      <c r="R186" s="184">
        <f t="shared" si="100"/>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01">F$108</f>
        <v>0</v>
      </c>
      <c r="G187" s="184" t="str">
        <f t="shared" si="101"/>
        <v>£m</v>
      </c>
      <c r="H187" s="184">
        <f t="shared" si="101"/>
        <v>542.21715196884918</v>
      </c>
      <c r="I187" s="184">
        <f t="shared" si="101"/>
        <v>0</v>
      </c>
      <c r="J187" s="184">
        <f t="shared" si="101"/>
        <v>0</v>
      </c>
      <c r="K187" s="184">
        <f t="shared" si="101"/>
        <v>0</v>
      </c>
      <c r="L187" s="184">
        <f t="shared" si="101"/>
        <v>0</v>
      </c>
      <c r="M187" s="184">
        <f t="shared" si="101"/>
        <v>106.43142582533861</v>
      </c>
      <c r="N187" s="184">
        <f t="shared" si="101"/>
        <v>106.72689788657942</v>
      </c>
      <c r="O187" s="184">
        <f t="shared" si="101"/>
        <v>109.14938494826126</v>
      </c>
      <c r="P187" s="184">
        <f t="shared" si="101"/>
        <v>110.11653851619977</v>
      </c>
      <c r="Q187" s="184">
        <f t="shared" si="101"/>
        <v>109.79290479247015</v>
      </c>
      <c r="R187" s="184">
        <f t="shared" si="101"/>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02" xml:space="preserve"> E182 &amp; "- real"</f>
        <v>True up Nominal RCV run-off- real</v>
      </c>
      <c r="F189" s="184"/>
      <c r="G189" s="184" t="str">
        <f t="shared" ref="G189:G194" si="103">G$155</f>
        <v>£m</v>
      </c>
      <c r="H189" s="244">
        <f t="shared" ref="H189:H194" si="104">SUM(J189:R189)</f>
        <v>314.9417146513249</v>
      </c>
      <c r="I189" s="184"/>
      <c r="J189" s="184">
        <f t="shared" ref="J189:R194" si="105" xml:space="preserve"> IF(J$188 = 0, 0, J182 / J$188)</f>
        <v>0</v>
      </c>
      <c r="K189" s="184">
        <f t="shared" si="105"/>
        <v>0</v>
      </c>
      <c r="L189" s="184">
        <f t="shared" si="105"/>
        <v>0</v>
      </c>
      <c r="M189" s="185">
        <f t="shared" si="105"/>
        <v>66.48612722087158</v>
      </c>
      <c r="N189" s="184">
        <f t="shared" si="105"/>
        <v>64.640053621176875</v>
      </c>
      <c r="O189" s="184">
        <f t="shared" si="105"/>
        <v>62.918442681833341</v>
      </c>
      <c r="P189" s="184">
        <f t="shared" si="105"/>
        <v>61.257224373310343</v>
      </c>
      <c r="Q189" s="184">
        <f t="shared" si="105"/>
        <v>59.639866754132747</v>
      </c>
      <c r="R189" s="184">
        <f t="shared" si="105"/>
        <v>0</v>
      </c>
      <c r="S189" s="92"/>
      <c r="T189" s="92"/>
      <c r="U189" s="92"/>
      <c r="V189" s="92"/>
      <c r="W189" s="92"/>
      <c r="X189" s="92"/>
      <c r="Y189" s="92"/>
      <c r="Z189" s="92"/>
    </row>
    <row r="190" spans="1:26" s="91" customFormat="1" x14ac:dyDescent="0.25">
      <c r="A190" s="170"/>
      <c r="B190" s="165"/>
      <c r="C190" s="166"/>
      <c r="D190" s="171"/>
      <c r="E190" s="7" t="str">
        <f t="shared" si="102"/>
        <v>True up Nominal return- real</v>
      </c>
      <c r="F190" s="184"/>
      <c r="G190" s="184" t="str">
        <f t="shared" si="103"/>
        <v>£m</v>
      </c>
      <c r="H190" s="244">
        <f t="shared" si="104"/>
        <v>161.41239035182144</v>
      </c>
      <c r="I190" s="184"/>
      <c r="J190" s="184">
        <f t="shared" si="105"/>
        <v>0</v>
      </c>
      <c r="K190" s="184">
        <f t="shared" si="105"/>
        <v>0</v>
      </c>
      <c r="L190" s="184">
        <f t="shared" si="105"/>
        <v>0</v>
      </c>
      <c r="M190" s="185">
        <f t="shared" si="105"/>
        <v>34.075145402181285</v>
      </c>
      <c r="N190" s="184">
        <f xml:space="preserve"> IF(N$188 = 0, 0, N183 / N$188)</f>
        <v>33.129004771614106</v>
      </c>
      <c r="O190" s="184">
        <f t="shared" si="105"/>
        <v>32.246653136223614</v>
      </c>
      <c r="P190" s="184">
        <f t="shared" si="105"/>
        <v>31.395253637202753</v>
      </c>
      <c r="Q190" s="184">
        <f t="shared" si="105"/>
        <v>30.566333404599686</v>
      </c>
      <c r="R190" s="184">
        <f t="shared" si="105"/>
        <v>0</v>
      </c>
      <c r="S190" s="92"/>
      <c r="T190" s="92"/>
      <c r="U190" s="92"/>
      <c r="V190" s="92"/>
      <c r="W190" s="92"/>
      <c r="X190" s="92"/>
      <c r="Y190" s="92"/>
      <c r="Z190" s="92"/>
    </row>
    <row r="191" spans="1:26" s="91" customFormat="1" x14ac:dyDescent="0.25">
      <c r="A191" s="170"/>
      <c r="B191" s="165"/>
      <c r="C191" s="166"/>
      <c r="D191" s="171"/>
      <c r="E191" s="7" t="str">
        <f t="shared" si="102"/>
        <v>Total True up Nominal revenue to company- real</v>
      </c>
      <c r="F191" s="184"/>
      <c r="G191" s="184" t="str">
        <f t="shared" si="103"/>
        <v>£m</v>
      </c>
      <c r="H191" s="244">
        <f t="shared" si="104"/>
        <v>476.35410500314634</v>
      </c>
      <c r="I191" s="184"/>
      <c r="J191" s="184">
        <f t="shared" si="105"/>
        <v>0</v>
      </c>
      <c r="K191" s="184">
        <f t="shared" si="105"/>
        <v>0</v>
      </c>
      <c r="L191" s="184">
        <f t="shared" si="105"/>
        <v>0</v>
      </c>
      <c r="M191" s="185">
        <f t="shared" si="105"/>
        <v>100.56127262305286</v>
      </c>
      <c r="N191" s="184">
        <f t="shared" si="105"/>
        <v>97.769058392790996</v>
      </c>
      <c r="O191" s="184">
        <f t="shared" si="105"/>
        <v>95.165095818056955</v>
      </c>
      <c r="P191" s="184">
        <f t="shared" si="105"/>
        <v>92.652478010513093</v>
      </c>
      <c r="Q191" s="184">
        <f t="shared" si="105"/>
        <v>90.206200158732429</v>
      </c>
      <c r="R191" s="184">
        <f t="shared" si="105"/>
        <v>0</v>
      </c>
      <c r="S191" s="92"/>
      <c r="T191" s="92"/>
      <c r="U191" s="92"/>
      <c r="V191" s="92"/>
      <c r="W191" s="92"/>
      <c r="X191" s="92"/>
      <c r="Y191" s="92"/>
      <c r="Z191" s="92"/>
    </row>
    <row r="192" spans="1:26" s="91" customFormat="1" x14ac:dyDescent="0.25">
      <c r="A192" s="170"/>
      <c r="B192" s="165"/>
      <c r="C192" s="166"/>
      <c r="D192" s="171"/>
      <c r="E192" s="7" t="str">
        <f t="shared" si="102"/>
        <v>RCV run-off company should have received- real</v>
      </c>
      <c r="F192" s="184"/>
      <c r="G192" s="184" t="str">
        <f t="shared" si="103"/>
        <v>£m</v>
      </c>
      <c r="H192" s="244">
        <f t="shared" si="104"/>
        <v>324.03842301387959</v>
      </c>
      <c r="I192" s="184"/>
      <c r="J192" s="184">
        <f t="shared" si="105"/>
        <v>0</v>
      </c>
      <c r="K192" s="184">
        <f t="shared" si="105"/>
        <v>0</v>
      </c>
      <c r="L192" s="184">
        <f t="shared" si="105"/>
        <v>0</v>
      </c>
      <c r="M192" s="185">
        <f t="shared" si="105"/>
        <v>66.242792693587006</v>
      </c>
      <c r="N192" s="184">
        <f t="shared" si="105"/>
        <v>65.121529557287786</v>
      </c>
      <c r="O192" s="184">
        <f t="shared" si="105"/>
        <v>65.245727487932456</v>
      </c>
      <c r="P192" s="184">
        <f t="shared" si="105"/>
        <v>64.469988680413749</v>
      </c>
      <c r="Q192" s="184">
        <f t="shared" si="105"/>
        <v>62.958384594658583</v>
      </c>
      <c r="R192" s="184">
        <f t="shared" si="105"/>
        <v>0</v>
      </c>
      <c r="S192" s="92"/>
      <c r="T192" s="92"/>
      <c r="U192" s="92"/>
      <c r="V192" s="92"/>
      <c r="W192" s="92"/>
      <c r="X192" s="92"/>
      <c r="Y192" s="92"/>
      <c r="Z192" s="92"/>
    </row>
    <row r="193" spans="1:26" s="91" customFormat="1" x14ac:dyDescent="0.25">
      <c r="A193" s="170"/>
      <c r="B193" s="165"/>
      <c r="C193" s="166"/>
      <c r="D193" s="171"/>
      <c r="E193" s="7" t="str">
        <f t="shared" si="102"/>
        <v>Nominal return company should have received- real</v>
      </c>
      <c r="F193" s="184"/>
      <c r="G193" s="184" t="str">
        <f t="shared" si="103"/>
        <v>£m</v>
      </c>
      <c r="H193" s="244">
        <f t="shared" si="104"/>
        <v>166.07459092045346</v>
      </c>
      <c r="I193" s="184"/>
      <c r="J193" s="184">
        <f t="shared" si="105"/>
        <v>0</v>
      </c>
      <c r="K193" s="184">
        <f t="shared" si="105"/>
        <v>0</v>
      </c>
      <c r="L193" s="184">
        <f t="shared" si="105"/>
        <v>0</v>
      </c>
      <c r="M193" s="185">
        <f t="shared" si="105"/>
        <v>33.950432777981547</v>
      </c>
      <c r="N193" s="184">
        <f t="shared" si="105"/>
        <v>33.375768468289166</v>
      </c>
      <c r="O193" s="184">
        <f t="shared" si="105"/>
        <v>33.439421785488825</v>
      </c>
      <c r="P193" s="184">
        <f t="shared" si="105"/>
        <v>33.041843918266977</v>
      </c>
      <c r="Q193" s="184">
        <f t="shared" si="105"/>
        <v>32.267123970426958</v>
      </c>
      <c r="R193" s="184">
        <f t="shared" si="105"/>
        <v>0</v>
      </c>
      <c r="S193" s="92"/>
      <c r="T193" s="92"/>
      <c r="U193" s="92"/>
      <c r="V193" s="92"/>
      <c r="W193" s="92"/>
      <c r="X193" s="92"/>
      <c r="Y193" s="92"/>
      <c r="Z193" s="92"/>
    </row>
    <row r="194" spans="1:26" s="91" customFormat="1" x14ac:dyDescent="0.25">
      <c r="A194" s="170"/>
      <c r="B194" s="165"/>
      <c r="C194" s="166"/>
      <c r="D194" s="171"/>
      <c r="E194" s="7" t="str">
        <f t="shared" si="102"/>
        <v>Total nominal revenue company should have received- real</v>
      </c>
      <c r="F194" s="184"/>
      <c r="G194" s="184" t="str">
        <f t="shared" si="103"/>
        <v>£m</v>
      </c>
      <c r="H194" s="244">
        <f t="shared" si="104"/>
        <v>490.11301393433303</v>
      </c>
      <c r="I194" s="184"/>
      <c r="J194" s="184">
        <f t="shared" si="105"/>
        <v>0</v>
      </c>
      <c r="K194" s="184">
        <f t="shared" si="105"/>
        <v>0</v>
      </c>
      <c r="L194" s="184">
        <f t="shared" si="105"/>
        <v>0</v>
      </c>
      <c r="M194" s="185">
        <f t="shared" si="105"/>
        <v>100.19322547156857</v>
      </c>
      <c r="N194" s="184">
        <f t="shared" si="105"/>
        <v>98.497298025576953</v>
      </c>
      <c r="O194" s="184">
        <f t="shared" si="105"/>
        <v>98.685149273421274</v>
      </c>
      <c r="P194" s="184">
        <f t="shared" si="105"/>
        <v>97.511832598680712</v>
      </c>
      <c r="Q194" s="184">
        <f t="shared" si="105"/>
        <v>95.225508565085548</v>
      </c>
      <c r="R194" s="184">
        <f t="shared" si="105"/>
        <v>0</v>
      </c>
      <c r="S194" s="92"/>
      <c r="T194" s="92"/>
      <c r="U194" s="92"/>
      <c r="V194" s="92"/>
      <c r="W194" s="92"/>
      <c r="X194" s="92"/>
      <c r="Y194" s="92"/>
      <c r="Z194" s="92"/>
    </row>
    <row r="196" spans="1:26" x14ac:dyDescent="0.25">
      <c r="E196" s="7" t="str">
        <f>E$189</f>
        <v>True up Nominal RCV run-off- real</v>
      </c>
      <c r="F196" s="184">
        <f t="shared" ref="F196:R196" si="106">F$189</f>
        <v>0</v>
      </c>
      <c r="G196" s="7" t="str">
        <f t="shared" si="106"/>
        <v>£m</v>
      </c>
      <c r="H196" s="247">
        <f t="shared" si="106"/>
        <v>314.9417146513249</v>
      </c>
      <c r="I196" s="247">
        <f t="shared" si="106"/>
        <v>0</v>
      </c>
      <c r="J196" s="184">
        <f t="shared" si="106"/>
        <v>0</v>
      </c>
      <c r="K196" s="184">
        <f t="shared" si="106"/>
        <v>0</v>
      </c>
      <c r="L196" s="184">
        <f t="shared" si="106"/>
        <v>0</v>
      </c>
      <c r="M196" s="185">
        <f t="shared" si="106"/>
        <v>66.48612722087158</v>
      </c>
      <c r="N196" s="184">
        <f t="shared" si="106"/>
        <v>64.640053621176875</v>
      </c>
      <c r="O196" s="184">
        <f t="shared" si="106"/>
        <v>62.918442681833341</v>
      </c>
      <c r="P196" s="184">
        <f t="shared" si="106"/>
        <v>61.257224373310343</v>
      </c>
      <c r="Q196" s="184">
        <f t="shared" si="106"/>
        <v>59.639866754132747</v>
      </c>
      <c r="R196" s="184">
        <f t="shared" si="106"/>
        <v>0</v>
      </c>
    </row>
    <row r="197" spans="1:26" x14ac:dyDescent="0.25">
      <c r="E197" s="7" t="str">
        <f>E$192</f>
        <v>RCV run-off company should have received- real</v>
      </c>
      <c r="F197" s="184">
        <f t="shared" ref="F197:R197" si="107">F$192</f>
        <v>0</v>
      </c>
      <c r="G197" s="7" t="str">
        <f t="shared" si="107"/>
        <v>£m</v>
      </c>
      <c r="H197" s="247">
        <f t="shared" si="107"/>
        <v>324.03842301387959</v>
      </c>
      <c r="I197" s="247">
        <f t="shared" si="107"/>
        <v>0</v>
      </c>
      <c r="J197" s="184">
        <f t="shared" si="107"/>
        <v>0</v>
      </c>
      <c r="K197" s="184">
        <f t="shared" si="107"/>
        <v>0</v>
      </c>
      <c r="L197" s="184">
        <f t="shared" si="107"/>
        <v>0</v>
      </c>
      <c r="M197" s="185">
        <f t="shared" si="107"/>
        <v>66.242792693587006</v>
      </c>
      <c r="N197" s="184">
        <f t="shared" si="107"/>
        <v>65.121529557287786</v>
      </c>
      <c r="O197" s="184">
        <f t="shared" si="107"/>
        <v>65.245727487932456</v>
      </c>
      <c r="P197" s="184">
        <f t="shared" si="107"/>
        <v>64.469988680413749</v>
      </c>
      <c r="Q197" s="184">
        <f t="shared" si="107"/>
        <v>62.958384594658583</v>
      </c>
      <c r="R197" s="184">
        <f t="shared" si="107"/>
        <v>0</v>
      </c>
    </row>
    <row r="198" spans="1:26" x14ac:dyDescent="0.25">
      <c r="C198" s="278"/>
      <c r="E198" s="7" t="s">
        <v>269</v>
      </c>
      <c r="G198" s="7" t="s">
        <v>88</v>
      </c>
      <c r="H198" s="185">
        <f xml:space="preserve"> SUM(J198:R198)</f>
        <v>9.0967083625546934</v>
      </c>
      <c r="I198" s="185"/>
      <c r="J198" s="184">
        <f t="shared" ref="J198:K198" si="108">J197-J196</f>
        <v>0</v>
      </c>
      <c r="K198" s="184">
        <f t="shared" si="108"/>
        <v>0</v>
      </c>
      <c r="L198" s="184">
        <f>L197-L196</f>
        <v>0</v>
      </c>
      <c r="M198" s="185">
        <f>M197-M196</f>
        <v>-0.24333452728457416</v>
      </c>
      <c r="N198" s="184">
        <f t="shared" ref="N198:R198" si="109">N197-N196</f>
        <v>0.48147593611091111</v>
      </c>
      <c r="O198" s="184">
        <f t="shared" si="109"/>
        <v>2.3272848060991151</v>
      </c>
      <c r="P198" s="184">
        <f t="shared" si="109"/>
        <v>3.2127643071034058</v>
      </c>
      <c r="Q198" s="184">
        <f t="shared" si="109"/>
        <v>3.3185178405258355</v>
      </c>
      <c r="R198" s="184">
        <f t="shared" si="109"/>
        <v>0</v>
      </c>
    </row>
    <row r="200" spans="1:26" x14ac:dyDescent="0.25">
      <c r="E200" s="7" t="str">
        <f>E$190</f>
        <v>True up Nominal return- real</v>
      </c>
      <c r="F200" s="184">
        <f t="shared" ref="F200:R200" si="110">F$190</f>
        <v>0</v>
      </c>
      <c r="G200" s="7" t="str">
        <f t="shared" si="110"/>
        <v>£m</v>
      </c>
      <c r="H200" s="247">
        <f t="shared" si="110"/>
        <v>161.41239035182144</v>
      </c>
      <c r="I200" s="247">
        <f t="shared" si="110"/>
        <v>0</v>
      </c>
      <c r="J200" s="184">
        <f t="shared" si="110"/>
        <v>0</v>
      </c>
      <c r="K200" s="184">
        <f t="shared" si="110"/>
        <v>0</v>
      </c>
      <c r="L200" s="184">
        <f t="shared" si="110"/>
        <v>0</v>
      </c>
      <c r="M200" s="185">
        <f t="shared" si="110"/>
        <v>34.075145402181285</v>
      </c>
      <c r="N200" s="184">
        <f t="shared" si="110"/>
        <v>33.129004771614106</v>
      </c>
      <c r="O200" s="184">
        <f t="shared" si="110"/>
        <v>32.246653136223614</v>
      </c>
      <c r="P200" s="184">
        <f t="shared" si="110"/>
        <v>31.395253637202753</v>
      </c>
      <c r="Q200" s="184">
        <f t="shared" si="110"/>
        <v>30.566333404599686</v>
      </c>
      <c r="R200" s="184">
        <f t="shared" si="110"/>
        <v>0</v>
      </c>
    </row>
    <row r="201" spans="1:26" x14ac:dyDescent="0.25">
      <c r="E201" s="7" t="str">
        <f>E$193</f>
        <v>Nominal return company should have received- real</v>
      </c>
      <c r="F201" s="184">
        <f t="shared" ref="F201:R201" si="111">F$193</f>
        <v>0</v>
      </c>
      <c r="G201" s="7" t="str">
        <f t="shared" si="111"/>
        <v>£m</v>
      </c>
      <c r="H201" s="247">
        <f t="shared" si="111"/>
        <v>166.07459092045346</v>
      </c>
      <c r="I201" s="247">
        <f t="shared" si="111"/>
        <v>0</v>
      </c>
      <c r="J201" s="184">
        <f t="shared" si="111"/>
        <v>0</v>
      </c>
      <c r="K201" s="184">
        <f t="shared" si="111"/>
        <v>0</v>
      </c>
      <c r="L201" s="184">
        <f t="shared" si="111"/>
        <v>0</v>
      </c>
      <c r="M201" s="185">
        <f t="shared" si="111"/>
        <v>33.950432777981547</v>
      </c>
      <c r="N201" s="184">
        <f t="shared" si="111"/>
        <v>33.375768468289166</v>
      </c>
      <c r="O201" s="184">
        <f t="shared" si="111"/>
        <v>33.439421785488825</v>
      </c>
      <c r="P201" s="184">
        <f t="shared" si="111"/>
        <v>33.041843918266977</v>
      </c>
      <c r="Q201" s="184">
        <f t="shared" si="111"/>
        <v>32.267123970426958</v>
      </c>
      <c r="R201" s="184">
        <f t="shared" si="111"/>
        <v>0</v>
      </c>
    </row>
    <row r="202" spans="1:26" x14ac:dyDescent="0.25">
      <c r="C202" s="278"/>
      <c r="E202" s="7" t="s">
        <v>276</v>
      </c>
      <c r="G202" s="7" t="s">
        <v>88</v>
      </c>
      <c r="H202" s="185">
        <f xml:space="preserve"> SUM(J202:R202)</f>
        <v>4.6622005686320307</v>
      </c>
      <c r="I202" s="185"/>
      <c r="J202" s="184">
        <f t="shared" ref="J202:K202" si="112">J201-J200</f>
        <v>0</v>
      </c>
      <c r="K202" s="184">
        <f t="shared" si="112"/>
        <v>0</v>
      </c>
      <c r="L202" s="184">
        <f>L201-L200</f>
        <v>0</v>
      </c>
      <c r="M202" s="185">
        <f>M201-M200</f>
        <v>-0.12471262419973783</v>
      </c>
      <c r="N202" s="184">
        <f t="shared" ref="N202:R202" si="113">N201-N200</f>
        <v>0.24676369667506037</v>
      </c>
      <c r="O202" s="184">
        <f>O201-O200</f>
        <v>1.1927686492652114</v>
      </c>
      <c r="P202" s="184">
        <f t="shared" si="113"/>
        <v>1.6465902810642241</v>
      </c>
      <c r="Q202" s="184">
        <f t="shared" si="113"/>
        <v>1.7007905658272726</v>
      </c>
      <c r="R202" s="184">
        <f t="shared" si="113"/>
        <v>0</v>
      </c>
    </row>
    <row r="204" spans="1:26" x14ac:dyDescent="0.25">
      <c r="E204" s="7" t="str">
        <f>E$191</f>
        <v>Total True up Nominal revenue to company- real</v>
      </c>
      <c r="F204" s="184">
        <f t="shared" ref="F204:R204" si="114">F$191</f>
        <v>0</v>
      </c>
      <c r="G204" s="7" t="str">
        <f t="shared" si="114"/>
        <v>£m</v>
      </c>
      <c r="H204" s="247">
        <f t="shared" si="114"/>
        <v>476.35410500314634</v>
      </c>
      <c r="I204" s="247"/>
      <c r="J204" s="184">
        <f t="shared" si="114"/>
        <v>0</v>
      </c>
      <c r="K204" s="184">
        <f t="shared" si="114"/>
        <v>0</v>
      </c>
      <c r="L204" s="184">
        <f t="shared" si="114"/>
        <v>0</v>
      </c>
      <c r="M204" s="185">
        <f t="shared" si="114"/>
        <v>100.56127262305286</v>
      </c>
      <c r="N204" s="184">
        <f t="shared" si="114"/>
        <v>97.769058392790996</v>
      </c>
      <c r="O204" s="184">
        <f t="shared" si="114"/>
        <v>95.165095818056955</v>
      </c>
      <c r="P204" s="184">
        <f t="shared" si="114"/>
        <v>92.652478010513093</v>
      </c>
      <c r="Q204" s="184">
        <f t="shared" si="114"/>
        <v>90.206200158732429</v>
      </c>
      <c r="R204" s="184">
        <f t="shared" si="114"/>
        <v>0</v>
      </c>
    </row>
    <row r="205" spans="1:26" x14ac:dyDescent="0.25">
      <c r="E205" s="7" t="str">
        <f>E$194</f>
        <v>Total nominal revenue company should have received- real</v>
      </c>
      <c r="F205" s="184">
        <f t="shared" ref="F205:R205" si="115">F$194</f>
        <v>0</v>
      </c>
      <c r="G205" s="7" t="str">
        <f t="shared" si="115"/>
        <v>£m</v>
      </c>
      <c r="H205" s="247">
        <f t="shared" si="115"/>
        <v>490.11301393433303</v>
      </c>
      <c r="I205" s="247"/>
      <c r="J205" s="184">
        <f t="shared" si="115"/>
        <v>0</v>
      </c>
      <c r="K205" s="184">
        <f t="shared" si="115"/>
        <v>0</v>
      </c>
      <c r="L205" s="184">
        <f t="shared" si="115"/>
        <v>0</v>
      </c>
      <c r="M205" s="185">
        <f t="shared" si="115"/>
        <v>100.19322547156857</v>
      </c>
      <c r="N205" s="184">
        <f t="shared" si="115"/>
        <v>98.497298025576953</v>
      </c>
      <c r="O205" s="184">
        <f t="shared" si="115"/>
        <v>98.685149273421274</v>
      </c>
      <c r="P205" s="184">
        <f t="shared" si="115"/>
        <v>97.511832598680712</v>
      </c>
      <c r="Q205" s="184">
        <f t="shared" si="115"/>
        <v>95.225508565085548</v>
      </c>
      <c r="R205" s="184">
        <f t="shared" si="115"/>
        <v>0</v>
      </c>
    </row>
    <row r="206" spans="1:26" x14ac:dyDescent="0.25">
      <c r="C206" s="278"/>
      <c r="E206" s="7" t="s">
        <v>322</v>
      </c>
      <c r="G206" s="7" t="s">
        <v>88</v>
      </c>
      <c r="H206" s="185">
        <f xml:space="preserve"> SUM(J206:R206)</f>
        <v>13.758908931186724</v>
      </c>
      <c r="I206" s="185"/>
      <c r="J206" s="184">
        <f t="shared" ref="J206:K206" si="116">J205-J204</f>
        <v>0</v>
      </c>
      <c r="K206" s="184">
        <f t="shared" si="116"/>
        <v>0</v>
      </c>
      <c r="L206" s="184">
        <f>L205-L204</f>
        <v>0</v>
      </c>
      <c r="M206" s="185">
        <f>M205-M204</f>
        <v>-0.36804715148429068</v>
      </c>
      <c r="N206" s="184">
        <f t="shared" ref="N206:R206" si="117">N205-N204</f>
        <v>0.72823963278595727</v>
      </c>
      <c r="O206" s="184">
        <f t="shared" si="117"/>
        <v>3.5200534553643195</v>
      </c>
      <c r="P206" s="184">
        <f t="shared" si="117"/>
        <v>4.8593545881676192</v>
      </c>
      <c r="Q206" s="184">
        <f t="shared" si="117"/>
        <v>5.0193084063531188</v>
      </c>
      <c r="R206" s="184">
        <f t="shared" si="117"/>
        <v>0</v>
      </c>
    </row>
    <row r="208" spans="1:26" x14ac:dyDescent="0.25">
      <c r="B208" s="61" t="s">
        <v>270</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InpR!I$83</f>
        <v>0</v>
      </c>
      <c r="I209" s="249" t="e">
        <f>InpR!#REF!</f>
        <v>#REF!</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InpR!E$110</f>
        <v>WACC real on RCV - CPI(H) bf and additions - WWN</v>
      </c>
      <c r="F210" s="205">
        <f>InpR!F$110</f>
        <v>0</v>
      </c>
      <c r="G210" s="223" t="str">
        <f>InpR!G$110</f>
        <v>%</v>
      </c>
      <c r="H210" s="205" t="str">
        <f>InpR!I$110</f>
        <v>PR19 Financial model, 'Wastewater Network' sheet row 860</v>
      </c>
      <c r="I210" s="205" t="e">
        <f>InpR!#REF!</f>
        <v>#REF!</v>
      </c>
      <c r="J210" s="205">
        <f>InpR!J$110</f>
        <v>0</v>
      </c>
      <c r="K210" s="205">
        <f>InpR!K$110</f>
        <v>0</v>
      </c>
      <c r="L210" s="205">
        <f>InpR!L$110</f>
        <v>0</v>
      </c>
      <c r="M210" s="205">
        <f>InpR!M$110</f>
        <v>2.9195763820156317E-2</v>
      </c>
      <c r="N210" s="205">
        <f>InpR!N$110</f>
        <v>2.9195763820156317E-2</v>
      </c>
      <c r="O210" s="205">
        <f>InpR!O$110</f>
        <v>2.9195763820156317E-2</v>
      </c>
      <c r="P210" s="205">
        <f>InpR!P$110</f>
        <v>2.9195763820156317E-2</v>
      </c>
      <c r="Q210" s="205">
        <f>InpR!Q$110</f>
        <v>2.9195763820156317E-2</v>
      </c>
      <c r="R210" s="205">
        <f>InpR!R$110</f>
        <v>0</v>
      </c>
    </row>
    <row r="211" spans="1:18" x14ac:dyDescent="0.25">
      <c r="E211" s="7" t="s">
        <v>272</v>
      </c>
      <c r="G211" s="7" t="s">
        <v>273</v>
      </c>
      <c r="J211" s="255">
        <f xml:space="preserve"> (1 + J$210) ^ J$209</f>
        <v>1</v>
      </c>
      <c r="K211" s="255">
        <f t="shared" ref="K211:R211" si="118" xml:space="preserve"> (1 + K$210) ^ K$209</f>
        <v>1</v>
      </c>
      <c r="L211" s="255">
        <f t="shared" si="118"/>
        <v>1</v>
      </c>
      <c r="M211" s="255">
        <f t="shared" si="118"/>
        <v>1.1219976826191176</v>
      </c>
      <c r="N211" s="255">
        <f t="shared" si="118"/>
        <v>1.0901693555893588</v>
      </c>
      <c r="O211" s="255">
        <f t="shared" si="118"/>
        <v>1.059243920265355</v>
      </c>
      <c r="P211" s="255">
        <f t="shared" si="118"/>
        <v>1.0291957638201563</v>
      </c>
      <c r="Q211" s="255">
        <f t="shared" si="118"/>
        <v>1</v>
      </c>
      <c r="R211" s="255">
        <f t="shared" si="118"/>
        <v>1</v>
      </c>
    </row>
    <row r="213" spans="1:18" x14ac:dyDescent="0.25">
      <c r="B213" s="61" t="s">
        <v>274</v>
      </c>
    </row>
    <row r="214" spans="1:18" x14ac:dyDescent="0.25">
      <c r="E214" s="7" t="str">
        <f>E$198</f>
        <v>Value of True up run-off - real</v>
      </c>
      <c r="F214" s="184">
        <f t="shared" ref="F214:R214" si="119">F$198</f>
        <v>0</v>
      </c>
      <c r="G214" s="7" t="str">
        <f t="shared" si="119"/>
        <v>£m</v>
      </c>
      <c r="H214" s="247">
        <f t="shared" si="119"/>
        <v>9.0967083625546934</v>
      </c>
      <c r="I214" s="247">
        <f t="shared" si="119"/>
        <v>0</v>
      </c>
      <c r="J214" s="184">
        <f t="shared" si="119"/>
        <v>0</v>
      </c>
      <c r="K214" s="184">
        <f t="shared" si="119"/>
        <v>0</v>
      </c>
      <c r="L214" s="184">
        <f t="shared" si="119"/>
        <v>0</v>
      </c>
      <c r="M214" s="185">
        <f t="shared" si="119"/>
        <v>-0.24333452728457416</v>
      </c>
      <c r="N214" s="184">
        <f t="shared" si="119"/>
        <v>0.48147593611091111</v>
      </c>
      <c r="O214" s="184">
        <f t="shared" si="119"/>
        <v>2.3272848060991151</v>
      </c>
      <c r="P214" s="184">
        <f t="shared" si="119"/>
        <v>3.2127643071034058</v>
      </c>
      <c r="Q214" s="184">
        <f t="shared" si="119"/>
        <v>3.3185178405258355</v>
      </c>
      <c r="R214" s="184">
        <f t="shared" si="119"/>
        <v>0</v>
      </c>
    </row>
    <row r="215" spans="1:18" x14ac:dyDescent="0.25">
      <c r="E215" s="7" t="str">
        <f>E$211</f>
        <v xml:space="preserve">Time value of money factor </v>
      </c>
      <c r="F215" s="184">
        <f t="shared" ref="F215:R215" si="120">F$211</f>
        <v>0</v>
      </c>
      <c r="G215" s="7" t="str">
        <f t="shared" si="120"/>
        <v>Factor</v>
      </c>
      <c r="H215" s="247">
        <f t="shared" si="120"/>
        <v>0</v>
      </c>
      <c r="I215" s="247">
        <f t="shared" si="120"/>
        <v>0</v>
      </c>
      <c r="J215" s="184">
        <f t="shared" si="120"/>
        <v>1</v>
      </c>
      <c r="K215" s="184">
        <f t="shared" si="120"/>
        <v>1</v>
      </c>
      <c r="L215" s="184">
        <f t="shared" si="120"/>
        <v>1</v>
      </c>
      <c r="M215" s="185">
        <f t="shared" si="120"/>
        <v>1.1219976826191176</v>
      </c>
      <c r="N215" s="184">
        <f t="shared" si="120"/>
        <v>1.0901693555893588</v>
      </c>
      <c r="O215" s="184">
        <f t="shared" si="120"/>
        <v>1.059243920265355</v>
      </c>
      <c r="P215" s="184">
        <f t="shared" si="120"/>
        <v>1.0291957638201563</v>
      </c>
      <c r="Q215" s="184">
        <f t="shared" si="120"/>
        <v>1</v>
      </c>
      <c r="R215" s="184">
        <f t="shared" si="120"/>
        <v>1</v>
      </c>
    </row>
    <row r="216" spans="1:18" s="34" customFormat="1" x14ac:dyDescent="0.25">
      <c r="A216" s="265"/>
      <c r="B216" s="266"/>
      <c r="C216" s="267"/>
      <c r="D216" s="268"/>
      <c r="E216" s="34" t="s">
        <v>360</v>
      </c>
      <c r="G216" s="34" t="s">
        <v>88</v>
      </c>
      <c r="H216" s="271">
        <f xml:space="preserve"> SUM(J216:R216)</f>
        <v>9.3421130724229897</v>
      </c>
      <c r="J216" s="271">
        <f xml:space="preserve"> J214 * J215</f>
        <v>0</v>
      </c>
      <c r="K216" s="271">
        <f t="shared" ref="K216:R216" si="121" xml:space="preserve"> K214 * K215</f>
        <v>0</v>
      </c>
      <c r="L216" s="271">
        <f t="shared" si="121"/>
        <v>0</v>
      </c>
      <c r="M216" s="277">
        <f t="shared" si="121"/>
        <v>-0.27302077571451067</v>
      </c>
      <c r="N216" s="271">
        <f t="shared" si="121"/>
        <v>0.52489031100181527</v>
      </c>
      <c r="O216" s="271">
        <f t="shared" si="121"/>
        <v>2.4651622815864234</v>
      </c>
      <c r="P216" s="271">
        <f t="shared" si="121"/>
        <v>3.3065634150234251</v>
      </c>
      <c r="Q216" s="271">
        <f t="shared" si="121"/>
        <v>3.3185178405258355</v>
      </c>
      <c r="R216" s="271">
        <f t="shared" si="121"/>
        <v>0</v>
      </c>
    </row>
    <row r="218" spans="1:18" x14ac:dyDescent="0.25">
      <c r="B218" s="61" t="s">
        <v>275</v>
      </c>
    </row>
    <row r="219" spans="1:18" x14ac:dyDescent="0.25">
      <c r="E219" s="7" t="str">
        <f>E202</f>
        <v>Value of True up return - real</v>
      </c>
      <c r="F219" s="184">
        <f t="shared" ref="F219:R219" si="122">F202</f>
        <v>0</v>
      </c>
      <c r="G219" s="7" t="str">
        <f t="shared" si="122"/>
        <v>£m</v>
      </c>
      <c r="H219" s="247">
        <f t="shared" si="122"/>
        <v>4.6622005686320307</v>
      </c>
      <c r="I219" s="247">
        <f t="shared" si="122"/>
        <v>0</v>
      </c>
      <c r="J219" s="184">
        <f t="shared" si="122"/>
        <v>0</v>
      </c>
      <c r="K219" s="184">
        <f t="shared" si="122"/>
        <v>0</v>
      </c>
      <c r="L219" s="184">
        <f t="shared" si="122"/>
        <v>0</v>
      </c>
      <c r="M219" s="185">
        <f t="shared" si="122"/>
        <v>-0.12471262419973783</v>
      </c>
      <c r="N219" s="184">
        <f t="shared" si="122"/>
        <v>0.24676369667506037</v>
      </c>
      <c r="O219" s="184">
        <f t="shared" si="122"/>
        <v>1.1927686492652114</v>
      </c>
      <c r="P219" s="184">
        <f t="shared" si="122"/>
        <v>1.6465902810642241</v>
      </c>
      <c r="Q219" s="184">
        <f t="shared" si="122"/>
        <v>1.7007905658272726</v>
      </c>
      <c r="R219" s="184">
        <f t="shared" si="122"/>
        <v>0</v>
      </c>
    </row>
    <row r="220" spans="1:18" x14ac:dyDescent="0.25">
      <c r="E220" s="7" t="str">
        <f>E$211</f>
        <v xml:space="preserve">Time value of money factor </v>
      </c>
      <c r="F220" s="184">
        <f t="shared" ref="F220:R220" si="123">F$211</f>
        <v>0</v>
      </c>
      <c r="G220" s="7" t="str">
        <f t="shared" si="123"/>
        <v>Factor</v>
      </c>
      <c r="H220" s="247">
        <f t="shared" si="123"/>
        <v>0</v>
      </c>
      <c r="I220" s="247">
        <f t="shared" si="123"/>
        <v>0</v>
      </c>
      <c r="J220" s="184">
        <f t="shared" si="123"/>
        <v>1</v>
      </c>
      <c r="K220" s="184">
        <f t="shared" si="123"/>
        <v>1</v>
      </c>
      <c r="L220" s="184">
        <f t="shared" si="123"/>
        <v>1</v>
      </c>
      <c r="M220" s="185">
        <f t="shared" si="123"/>
        <v>1.1219976826191176</v>
      </c>
      <c r="N220" s="184">
        <f t="shared" si="123"/>
        <v>1.0901693555893588</v>
      </c>
      <c r="O220" s="184">
        <f t="shared" si="123"/>
        <v>1.059243920265355</v>
      </c>
      <c r="P220" s="184">
        <f t="shared" si="123"/>
        <v>1.0291957638201563</v>
      </c>
      <c r="Q220" s="184">
        <f t="shared" si="123"/>
        <v>1</v>
      </c>
      <c r="R220" s="184">
        <f t="shared" si="123"/>
        <v>1</v>
      </c>
    </row>
    <row r="221" spans="1:18" s="34" customFormat="1" x14ac:dyDescent="0.25">
      <c r="A221" s="265"/>
      <c r="B221" s="266"/>
      <c r="C221" s="267"/>
      <c r="D221" s="268"/>
      <c r="E221" s="34" t="s">
        <v>359</v>
      </c>
      <c r="G221" s="34" t="s">
        <v>88</v>
      </c>
      <c r="H221" s="271">
        <f xml:space="preserve"> SUM(J221:R221)</f>
        <v>4.7879741927049508</v>
      </c>
      <c r="J221" s="271">
        <f xml:space="preserve"> J219 * J220</f>
        <v>0</v>
      </c>
      <c r="K221" s="271">
        <f t="shared" ref="K221:M221" si="124" xml:space="preserve"> K219 * K220</f>
        <v>0</v>
      </c>
      <c r="L221" s="271">
        <f t="shared" si="124"/>
        <v>0</v>
      </c>
      <c r="M221" s="277">
        <f t="shared" si="124"/>
        <v>-0.13992727534545474</v>
      </c>
      <c r="N221" s="271">
        <f xml:space="preserve"> N219 * N220</f>
        <v>0.26901422018709858</v>
      </c>
      <c r="O221" s="271">
        <f t="shared" ref="O221:R221" si="125" xml:space="preserve"> O219 * O220</f>
        <v>1.2634329400172948</v>
      </c>
      <c r="P221" s="271">
        <f t="shared" si="125"/>
        <v>1.69466374201874</v>
      </c>
      <c r="Q221" s="271">
        <f t="shared" si="125"/>
        <v>1.7007905658272726</v>
      </c>
      <c r="R221" s="271">
        <f t="shared" si="125"/>
        <v>0</v>
      </c>
    </row>
    <row r="223" spans="1:18" x14ac:dyDescent="0.25">
      <c r="A223" s="10" t="s">
        <v>62</v>
      </c>
      <c r="B223" s="1"/>
      <c r="C223" s="1"/>
      <c r="D223" s="1"/>
      <c r="E223" s="1"/>
      <c r="F223" s="1"/>
      <c r="G223" s="1"/>
      <c r="H223" s="1"/>
      <c r="I223" s="1"/>
      <c r="J223" s="1"/>
      <c r="K223" s="1"/>
      <c r="L223" s="1"/>
      <c r="M223" s="1"/>
      <c r="N223" s="1"/>
      <c r="O223" s="1"/>
      <c r="P223" s="1"/>
      <c r="Q223" s="1"/>
      <c r="R223" s="1"/>
    </row>
  </sheetData>
  <conditionalFormatting sqref="F2">
    <cfRule type="cellIs" dxfId="40" priority="4" stopIfTrue="1" operator="notEqual">
      <formula>0</formula>
    </cfRule>
    <cfRule type="cellIs" dxfId="39" priority="5" stopIfTrue="1" operator="equal">
      <formula>""</formula>
    </cfRule>
  </conditionalFormatting>
  <conditionalFormatting sqref="F165">
    <cfRule type="cellIs" dxfId="38" priority="2" stopIfTrue="1" operator="notEqual">
      <formula>0</formula>
    </cfRule>
    <cfRule type="cellIs" dxfId="37" priority="3" stopIfTrue="1" operator="equal">
      <formula>""</formula>
    </cfRule>
  </conditionalFormatting>
  <conditionalFormatting sqref="J3:Z3">
    <cfRule type="cellIs" dxfId="36" priority="8" operator="equal">
      <formula>"Post-Fcst"</formula>
    </cfRule>
    <cfRule type="cellIs" dxfId="35" priority="9" operator="equal">
      <formula>"Forecast"</formula>
    </cfRule>
    <cfRule type="cellIs" dxfId="34" priority="10" operator="equal">
      <formula>"Pre Fcst"</formula>
    </cfRule>
  </conditionalFormatting>
  <conditionalFormatting sqref="J165:XFD165">
    <cfRule type="cellIs" dxfId="33" priority="6" stopIfTrue="1" operator="notEqual">
      <formula>0</formula>
    </cfRule>
    <cfRule type="cellIs" dxfId="32" priority="7"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487bced-9dcb-4901-8c0d-3173d64ce641" xsi:nil="true"/>
    <_Flow_SignoffStatus xmlns="3869d23c-bbd8-4a9d-bdc6-f0e65bbeacd5" xsi:nil="true"/>
    <lcf76f155ced4ddcb4097134ff3c332f xmlns="3869d23c-bbd8-4a9d-bdc6-f0e65bbeacd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6D331A18386D4BA65D0138479B2470" ma:contentTypeVersion="18" ma:contentTypeDescription="Create a new document." ma:contentTypeScope="" ma:versionID="e09b9c11151c65c01f989ef3502d042f">
  <xsd:schema xmlns:xsd="http://www.w3.org/2001/XMLSchema" xmlns:xs="http://www.w3.org/2001/XMLSchema" xmlns:p="http://schemas.microsoft.com/office/2006/metadata/properties" xmlns:ns2="3869d23c-bbd8-4a9d-bdc6-f0e65bbeacd5" xmlns:ns3="b487bced-9dcb-4901-8c0d-3173d64ce641" targetNamespace="http://schemas.microsoft.com/office/2006/metadata/properties" ma:root="true" ma:fieldsID="202571af1cf2651936ef0adf278c721f" ns2:_="" ns3:_="">
    <xsd:import namespace="3869d23c-bbd8-4a9d-bdc6-f0e65bbeacd5"/>
    <xsd:import namespace="b487bced-9dcb-4901-8c0d-3173d64ce64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69d23c-bbd8-4a9d-bdc6-f0e65bbeac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e73f8c3-7701-48fe-b22e-7a71215a08e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87bced-9dcb-4901-8c0d-3173d64ce64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8b82ce5-335b-45fc-ac6c-13e3fc42a47c}" ma:internalName="TaxCatchAll" ma:showField="CatchAllData" ma:web="b487bced-9dcb-4901-8c0d-3173d64ce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15F2D5-2104-455F-98C7-B26412ABD4EE}">
  <ds:schemaRefs>
    <ds:schemaRef ds:uri="3869d23c-bbd8-4a9d-bdc6-f0e65bbeacd5"/>
    <ds:schemaRef ds:uri="http://purl.org/dc/elements/1.1/"/>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b487bced-9dcb-4901-8c0d-3173d64ce641"/>
    <ds:schemaRef ds:uri="http://www.w3.org/XML/1998/namespace"/>
  </ds:schemaRefs>
</ds:datastoreItem>
</file>

<file path=customXml/itemProps2.xml><?xml version="1.0" encoding="utf-8"?>
<ds:datastoreItem xmlns:ds="http://schemas.openxmlformats.org/officeDocument/2006/customXml" ds:itemID="{FD2D1CB2-7302-4877-B94E-9694AB70F0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69d23c-bbd8-4a9d-bdc6-f0e65bbeacd5"/>
    <ds:schemaRef ds:uri="b487bced-9dcb-4901-8c0d-3173d64ce6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F6DF6E-37A9-44B3-AE03-9A94CC7538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2023-09-27T19:26:19Z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0x010100106D331A18386D4BA65D0138479B2470</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y fmtid="{D5CDD505-2E9C-101B-9397-08002B2CF9AE}" pid="18" name="MediaServiceImageTags">
    <vt:lpwstr/>
  </property>
</Properties>
</file>